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DFR-Admin/Shared Documents/Public Information/website/website-management/documents-uploaded/"/>
    </mc:Choice>
  </mc:AlternateContent>
  <xr:revisionPtr revIDLastSave="0" documentId="8_{7CCB3240-50F4-43E1-8A5D-7D1CA0994E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nted Page" sheetId="2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'Printed Page'!$A$1:$Y$59</definedName>
    <definedName name="Print_Area_MI" localSheetId="0">'Printed Page'!$N$22:$Y$59</definedName>
    <definedName name="_xlnm.Print_Titles" localSheetId="0">'Printed Page'!$1:$3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I12" i="2"/>
  <c r="E12" i="2"/>
  <c r="E13" i="2"/>
  <c r="E15" i="2"/>
  <c r="E16" i="2"/>
  <c r="E17" i="2"/>
  <c r="B17" i="2"/>
  <c r="W19" i="2"/>
  <c r="E18" i="2"/>
  <c r="U21" i="2"/>
  <c r="E21" i="2"/>
  <c r="E22" i="2" l="1"/>
  <c r="U38" i="2"/>
  <c r="W38" i="2" s="1"/>
  <c r="E38" i="2"/>
  <c r="B38" i="2"/>
  <c r="D38" i="2" s="1"/>
  <c r="U39" i="2"/>
  <c r="W39" i="2" s="1"/>
  <c r="Q39" i="2"/>
  <c r="I39" i="2"/>
  <c r="L39" i="2" s="1"/>
  <c r="E39" i="2"/>
  <c r="B39" i="2"/>
  <c r="D39" i="2" s="1"/>
  <c r="E40" i="2"/>
  <c r="B40" i="2"/>
  <c r="D40" i="2" s="1"/>
  <c r="E41" i="2"/>
  <c r="B42" i="2"/>
  <c r="D42" i="2" s="1"/>
  <c r="E42" i="2"/>
  <c r="E44" i="2"/>
  <c r="Y56" i="2"/>
  <c r="Z56" i="2" s="1"/>
  <c r="X56" i="2"/>
  <c r="W56" i="2"/>
  <c r="S56" i="2"/>
  <c r="R56" i="2"/>
  <c r="O56" i="2"/>
  <c r="N56" i="2"/>
  <c r="M56" i="2"/>
  <c r="L56" i="2"/>
  <c r="E56" i="2"/>
  <c r="F56" i="2"/>
  <c r="D56" i="2"/>
  <c r="U25" i="2"/>
  <c r="D17" i="2"/>
  <c r="B25" i="2"/>
  <c r="I25" i="2"/>
  <c r="W44" i="2"/>
  <c r="R44" i="2"/>
  <c r="L44" i="2"/>
  <c r="D44" i="2"/>
  <c r="R41" i="2"/>
  <c r="W41" i="2"/>
  <c r="L41" i="2"/>
  <c r="D41" i="2"/>
  <c r="L38" i="2"/>
  <c r="D21" i="2"/>
  <c r="L16" i="2"/>
  <c r="R22" i="2"/>
  <c r="R21" i="2"/>
  <c r="R19" i="2"/>
  <c r="R18" i="2"/>
  <c r="R17" i="2"/>
  <c r="R16" i="2"/>
  <c r="R15" i="2"/>
  <c r="R13" i="2"/>
  <c r="R12" i="2"/>
  <c r="R10" i="2"/>
  <c r="R11" i="2"/>
  <c r="R9" i="2"/>
  <c r="W16" i="2"/>
  <c r="D16" i="2"/>
  <c r="D9" i="2"/>
  <c r="L9" i="2"/>
  <c r="W9" i="2"/>
  <c r="D10" i="2"/>
  <c r="L10" i="2"/>
  <c r="W10" i="2"/>
  <c r="D11" i="2"/>
  <c r="W11" i="2"/>
  <c r="D12" i="2"/>
  <c r="L12" i="2"/>
  <c r="W12" i="2"/>
  <c r="D13" i="2"/>
  <c r="L13" i="2"/>
  <c r="W13" i="2"/>
  <c r="D15" i="2"/>
  <c r="L15" i="2"/>
  <c r="W15" i="2"/>
  <c r="L17" i="2"/>
  <c r="W17" i="2"/>
  <c r="D18" i="2"/>
  <c r="L18" i="2"/>
  <c r="W18" i="2"/>
  <c r="D19" i="2"/>
  <c r="L19" i="2"/>
  <c r="L21" i="2"/>
  <c r="D22" i="2"/>
  <c r="L22" i="2"/>
  <c r="W22" i="2"/>
  <c r="C25" i="2"/>
  <c r="F25" i="2"/>
  <c r="F30" i="2" s="1"/>
  <c r="F31" i="2" s="1"/>
  <c r="G25" i="2"/>
  <c r="H25" i="2"/>
  <c r="J25" i="2"/>
  <c r="K25" i="2"/>
  <c r="N25" i="2"/>
  <c r="N30" i="2" s="1"/>
  <c r="O25" i="2"/>
  <c r="P25" i="2"/>
  <c r="Q25" i="2"/>
  <c r="S25" i="2"/>
  <c r="S30" i="2" s="1"/>
  <c r="T25" i="2"/>
  <c r="V25" i="2"/>
  <c r="X25" i="2"/>
  <c r="Z28" i="2"/>
  <c r="R38" i="2"/>
  <c r="R39" i="2"/>
  <c r="L40" i="2"/>
  <c r="R40" i="2"/>
  <c r="W40" i="2"/>
  <c r="L42" i="2"/>
  <c r="R42" i="2"/>
  <c r="W42" i="2"/>
  <c r="F46" i="2"/>
  <c r="N46" i="2"/>
  <c r="N51" i="2" s="1"/>
  <c r="N52" i="2" s="1"/>
  <c r="O46" i="2"/>
  <c r="O51" i="2" s="1"/>
  <c r="O52" i="2" s="1"/>
  <c r="S46" i="2"/>
  <c r="S51" i="2" s="1"/>
  <c r="S52" i="2" s="1"/>
  <c r="Z49" i="2"/>
  <c r="X46" i="2"/>
  <c r="L11" i="2"/>
  <c r="E25" i="2"/>
  <c r="Y41" i="2" l="1"/>
  <c r="M42" i="2"/>
  <c r="M41" i="2"/>
  <c r="Y38" i="2"/>
  <c r="M21" i="2"/>
  <c r="Y16" i="2"/>
  <c r="M16" i="2"/>
  <c r="M15" i="2"/>
  <c r="Y12" i="2"/>
  <c r="Y11" i="2"/>
  <c r="M11" i="2"/>
  <c r="X54" i="2"/>
  <c r="X58" i="2" s="1"/>
  <c r="Y42" i="2"/>
  <c r="F54" i="2"/>
  <c r="F58" i="2" s="1"/>
  <c r="S54" i="2"/>
  <c r="S58" i="2" s="1"/>
  <c r="S59" i="2" s="1"/>
  <c r="O54" i="2"/>
  <c r="O58" i="2" s="1"/>
  <c r="E46" i="2"/>
  <c r="E51" i="2" s="1"/>
  <c r="E52" i="2" s="1"/>
  <c r="M40" i="2"/>
  <c r="D25" i="2"/>
  <c r="D30" i="2" s="1"/>
  <c r="D31" i="2" s="1"/>
  <c r="Y9" i="2"/>
  <c r="M44" i="2"/>
  <c r="Y40" i="2"/>
  <c r="Y44" i="2"/>
  <c r="R46" i="2"/>
  <c r="R51" i="2" s="1"/>
  <c r="R52" i="2" s="1"/>
  <c r="Y10" i="2"/>
  <c r="M18" i="2"/>
  <c r="M13" i="2"/>
  <c r="M10" i="2"/>
  <c r="W46" i="2"/>
  <c r="W51" i="2" s="1"/>
  <c r="W52" i="2" s="1"/>
  <c r="X30" i="2"/>
  <c r="X31" i="2" s="1"/>
  <c r="Y13" i="2"/>
  <c r="Y22" i="2"/>
  <c r="Y17" i="2"/>
  <c r="Y18" i="2"/>
  <c r="Y19" i="2"/>
  <c r="R25" i="2"/>
  <c r="R30" i="2" s="1"/>
  <c r="M22" i="2"/>
  <c r="M19" i="2"/>
  <c r="M17" i="2"/>
  <c r="M12" i="2"/>
  <c r="M9" i="2"/>
  <c r="N31" i="2"/>
  <c r="M39" i="2"/>
  <c r="L46" i="2"/>
  <c r="S31" i="2"/>
  <c r="M38" i="2"/>
  <c r="D46" i="2"/>
  <c r="L25" i="2"/>
  <c r="N54" i="2"/>
  <c r="N58" i="2" s="1"/>
  <c r="N59" i="2" s="1"/>
  <c r="F51" i="2"/>
  <c r="W21" i="2"/>
  <c r="Y21" i="2" s="1"/>
  <c r="Y39" i="2"/>
  <c r="E30" i="2"/>
  <c r="X51" i="2"/>
  <c r="O30" i="2"/>
  <c r="Y15" i="2"/>
  <c r="Z41" i="2" l="1"/>
  <c r="Z11" i="2"/>
  <c r="Z42" i="2"/>
  <c r="Y46" i="2"/>
  <c r="Y51" i="2" s="1"/>
  <c r="Y52" i="2" s="1"/>
  <c r="Z21" i="2"/>
  <c r="Z18" i="2"/>
  <c r="Z16" i="2"/>
  <c r="Z15" i="2"/>
  <c r="Z13" i="2"/>
  <c r="Z12" i="2"/>
  <c r="Z40" i="2"/>
  <c r="Z44" i="2"/>
  <c r="Z10" i="2"/>
  <c r="Z9" i="2"/>
  <c r="E54" i="2"/>
  <c r="E58" i="2" s="1"/>
  <c r="E59" i="2" s="1"/>
  <c r="Z19" i="2"/>
  <c r="Z17" i="2"/>
  <c r="Z22" i="2"/>
  <c r="R54" i="2"/>
  <c r="R58" i="2" s="1"/>
  <c r="R59" i="2" s="1"/>
  <c r="M25" i="2"/>
  <c r="S26" i="2" s="1"/>
  <c r="F59" i="2"/>
  <c r="F52" i="2"/>
  <c r="M46" i="2"/>
  <c r="Z38" i="2"/>
  <c r="O59" i="2"/>
  <c r="O31" i="2"/>
  <c r="Y25" i="2"/>
  <c r="L51" i="2"/>
  <c r="L52" i="2" s="1"/>
  <c r="D54" i="2"/>
  <c r="D58" i="2" s="1"/>
  <c r="D51" i="2"/>
  <c r="X52" i="2"/>
  <c r="X59" i="2"/>
  <c r="E31" i="2"/>
  <c r="Z39" i="2"/>
  <c r="L30" i="2"/>
  <c r="L54" i="2"/>
  <c r="L58" i="2" s="1"/>
  <c r="R31" i="2"/>
  <c r="W25" i="2"/>
  <c r="Y47" i="2" l="1"/>
  <c r="D47" i="2"/>
  <c r="L47" i="2"/>
  <c r="M26" i="2"/>
  <c r="F26" i="2"/>
  <c r="M54" i="2"/>
  <c r="M58" i="2" s="1"/>
  <c r="Z25" i="2"/>
  <c r="M30" i="2"/>
  <c r="E26" i="2"/>
  <c r="L26" i="2"/>
  <c r="X26" i="2"/>
  <c r="D26" i="2"/>
  <c r="O26" i="2"/>
  <c r="R26" i="2"/>
  <c r="N26" i="2"/>
  <c r="Y54" i="2"/>
  <c r="Y58" i="2" s="1"/>
  <c r="Y30" i="2"/>
  <c r="D52" i="2"/>
  <c r="D59" i="2"/>
  <c r="M47" i="2"/>
  <c r="N47" i="2"/>
  <c r="M51" i="2"/>
  <c r="Z46" i="2"/>
  <c r="X47" i="2"/>
  <c r="F47" i="2"/>
  <c r="E47" i="2"/>
  <c r="R47" i="2"/>
  <c r="S47" i="2"/>
  <c r="W47" i="2"/>
  <c r="O47" i="2"/>
  <c r="W54" i="2"/>
  <c r="W58" i="2" s="1"/>
  <c r="W30" i="2"/>
  <c r="W26" i="2"/>
  <c r="L31" i="2"/>
  <c r="L59" i="2"/>
  <c r="Z54" i="2" l="1"/>
  <c r="Z30" i="2"/>
  <c r="M31" i="2"/>
  <c r="M59" i="2"/>
  <c r="W59" i="2"/>
  <c r="W31" i="2"/>
  <c r="Y31" i="2"/>
  <c r="Y59" i="2"/>
  <c r="Z51" i="2"/>
  <c r="M52" i="2"/>
  <c r="Z58" i="2" l="1"/>
</calcChain>
</file>

<file path=xl/sharedStrings.xml><?xml version="1.0" encoding="utf-8"?>
<sst xmlns="http://schemas.openxmlformats.org/spreadsheetml/2006/main" count="110" uniqueCount="64">
  <si>
    <t>MEMBERS 1ST</t>
  </si>
  <si>
    <t>ORLEX GOVERNMENT EMPLOYEES</t>
  </si>
  <si>
    <t>VERMONT STATE EMPLOYEES</t>
  </si>
  <si>
    <t>WHITE RIVER</t>
  </si>
  <si>
    <t>NEW ENGLAND FEDERAL</t>
  </si>
  <si>
    <t>NORTH COUNTRY FEDERAL</t>
  </si>
  <si>
    <t>VERMONT FEDERAL</t>
  </si>
  <si>
    <t xml:space="preserve">COMPARATIVE CONDENSED STATEMENT OF CONDITION OF </t>
  </si>
  <si>
    <t>THE STATE AND FEDERAL CREDIT UNIONS IN THE STATE OF VERMONT</t>
  </si>
  <si>
    <t>AS OF</t>
  </si>
  <si>
    <t xml:space="preserve"> </t>
  </si>
  <si>
    <t>SHARES</t>
  </si>
  <si>
    <t>OTHER</t>
  </si>
  <si>
    <t>TOTAL</t>
  </si>
  <si>
    <t>CLUBS &amp;</t>
  </si>
  <si>
    <t>825</t>
  </si>
  <si>
    <t>STATUTORY</t>
  </si>
  <si>
    <t>658</t>
  </si>
  <si>
    <t>945</t>
  </si>
  <si>
    <t>668</t>
  </si>
  <si>
    <t>UNDIVIDED</t>
  </si>
  <si>
    <t>TOT LIAB/SHS/</t>
  </si>
  <si>
    <t>CREDIT UNIONS</t>
  </si>
  <si>
    <t>025B</t>
  </si>
  <si>
    <t>719</t>
  </si>
  <si>
    <t>LOANS</t>
  </si>
  <si>
    <t>CASH</t>
  </si>
  <si>
    <t>INVESTMENTS</t>
  </si>
  <si>
    <t>007</t>
  </si>
  <si>
    <t>008</t>
  </si>
  <si>
    <t>009</t>
  </si>
  <si>
    <t>798</t>
  </si>
  <si>
    <t>ASSETS</t>
  </si>
  <si>
    <t>RESOURCES</t>
  </si>
  <si>
    <t>DEPOSITS</t>
  </si>
  <si>
    <t>BORROWINGS</t>
  </si>
  <si>
    <t>LIABILITIES</t>
  </si>
  <si>
    <t>RESERVES</t>
  </si>
  <si>
    <t>PROFITS</t>
  </si>
  <si>
    <t>EQUITY</t>
  </si>
  <si>
    <t>NORTHEAST SCHOOLS &amp; HOSPITAL</t>
  </si>
  <si>
    <t>ST. PATRICK'S PARISH</t>
  </si>
  <si>
    <t xml:space="preserve">      % OF TOTAL ASSETS</t>
  </si>
  <si>
    <t xml:space="preserve">   INCREASE (DECREASE)</t>
  </si>
  <si>
    <t xml:space="preserve">      % OF INCREASE (DECREASE)</t>
  </si>
  <si>
    <t xml:space="preserve">  </t>
  </si>
  <si>
    <t>GREEN MOUNTAIN</t>
  </si>
  <si>
    <t>820A</t>
  </si>
  <si>
    <t>CENTRAL VT MEDICAL CENTER, INC.</t>
  </si>
  <si>
    <t>HERITAGE FAMILY FEDERAL</t>
  </si>
  <si>
    <t>OPPORTUNITIES</t>
  </si>
  <si>
    <t>CREDIT UNION OF VERMONT</t>
  </si>
  <si>
    <t>ONE</t>
  </si>
  <si>
    <t>VERMONT VA FEDERAL</t>
  </si>
  <si>
    <t>NORTHERN LIGHTS FEDERAL</t>
  </si>
  <si>
    <t>6 FEDERALLY CHARTERED</t>
  </si>
  <si>
    <t>12 STATE CHARTERED</t>
  </si>
  <si>
    <t>TOTAL STATE 2020</t>
  </si>
  <si>
    <t>TOTAL FEDERAL 2020</t>
  </si>
  <si>
    <t>TOTAL STATE &amp; FEDERAL 2020</t>
  </si>
  <si>
    <t>TOTAL STATE 2021</t>
  </si>
  <si>
    <t>TOTAL FEDERAL 2021</t>
  </si>
  <si>
    <t>TOTAL STATE &amp; FEDERAL 2021</t>
  </si>
  <si>
    <t>DECEMBER 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</si>
</sst>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0.0%"/>
  </numFmts>
  <fonts count="6" x14ac:knownFonts="1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5" fontId="0" fillId="0" borderId="0" xfId="0" applyNumberFormat="1" applyProtection="1"/>
    <xf numFmtId="164" fontId="0" fillId="0" borderId="0" xfId="0" applyNumberFormat="1" applyProtection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5" fontId="1" fillId="0" borderId="0" xfId="0" applyNumberFormat="1" applyFont="1" applyProtection="1"/>
    <xf numFmtId="5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164" fontId="1" fillId="0" borderId="0" xfId="0" applyNumberFormat="1" applyFont="1" applyProtection="1"/>
    <xf numFmtId="7" fontId="1" fillId="0" borderId="0" xfId="0" applyNumberFormat="1" applyFont="1" applyProtection="1"/>
    <xf numFmtId="0" fontId="4" fillId="0" borderId="0" xfId="0" applyFont="1"/>
    <xf numFmtId="3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P61"/>
  <sheetViews>
    <sheetView showGridLines="0" tabSelected="1" defaultGridColor="0" colorId="22" zoomScale="80" zoomScaleNormal="80" workbookViewId="0">
      <pane ySplit="6" topLeftCell="A7" activePane="bottomLeft" state="frozen"/>
      <selection pane="bottomLeft" activeCell="AB9" sqref="AB9"/>
    </sheetView>
  </sheetViews>
  <sheetFormatPr defaultColWidth="9.81640625" defaultRowHeight="15" x14ac:dyDescent="0.25"/>
  <cols>
    <col min="1" max="1" width="34.453125" style="3" bestFit="1" customWidth="1"/>
    <col min="2" max="2" width="12.453125" style="3" hidden="1" customWidth="1"/>
    <col min="3" max="3" width="10.453125" style="3" hidden="1" customWidth="1"/>
    <col min="4" max="4" width="14" style="3" bestFit="1" customWidth="1"/>
    <col min="5" max="5" width="12.453125" style="3" bestFit="1" customWidth="1"/>
    <col min="6" max="6" width="13.453125" style="3" bestFit="1" customWidth="1"/>
    <col min="7" max="7" width="11.453125" style="3" hidden="1" customWidth="1"/>
    <col min="8" max="8" width="10.453125" style="3" hidden="1" customWidth="1"/>
    <col min="9" max="9" width="11.453125" style="3" hidden="1" customWidth="1"/>
    <col min="10" max="11" width="10.453125" style="3" hidden="1" customWidth="1"/>
    <col min="12" max="12" width="12.453125" style="3" bestFit="1" customWidth="1"/>
    <col min="13" max="13" width="15.1796875" style="3" customWidth="1"/>
    <col min="14" max="14" width="15.54296875" style="3" customWidth="1"/>
    <col min="15" max="15" width="13.1796875" style="3" bestFit="1" customWidth="1"/>
    <col min="16" max="16" width="9" style="3" hidden="1" customWidth="1"/>
    <col min="17" max="17" width="11.453125" style="3" hidden="1" customWidth="1"/>
    <col min="18" max="19" width="11.453125" style="3" bestFit="1" customWidth="1"/>
    <col min="20" max="21" width="11" style="3" hidden="1" customWidth="1"/>
    <col min="22" max="22" width="4" style="3" hidden="1" customWidth="1"/>
    <col min="23" max="23" width="12" style="3" bestFit="1" customWidth="1"/>
    <col min="24" max="24" width="12.453125" style="3" bestFit="1" customWidth="1"/>
    <col min="25" max="25" width="14" style="3" bestFit="1" customWidth="1"/>
    <col min="26" max="26" width="6.36328125" style="3" bestFit="1" customWidth="1"/>
    <col min="27" max="29" width="14.81640625" customWidth="1"/>
    <col min="30" max="30" width="15.81640625" customWidth="1"/>
    <col min="31" max="31" width="14.81640625" customWidth="1"/>
    <col min="33" max="34" width="15.81640625" customWidth="1"/>
    <col min="35" max="36" width="14.81640625" customWidth="1"/>
    <col min="37" max="37" width="15.81640625" customWidth="1"/>
    <col min="40" max="41" width="15.81640625" customWidth="1"/>
    <col min="42" max="45" width="14.81640625" customWidth="1"/>
  </cols>
  <sheetData>
    <row r="1" spans="1:41" ht="17.399999999999999" x14ac:dyDescent="0.3">
      <c r="E1" s="4"/>
      <c r="F1" s="4"/>
      <c r="G1" s="4"/>
      <c r="H1" s="4"/>
      <c r="I1" s="4"/>
      <c r="J1" s="4"/>
      <c r="K1" s="4"/>
      <c r="L1" s="4"/>
      <c r="M1" s="5" t="s">
        <v>7</v>
      </c>
      <c r="N1" s="4" t="s">
        <v>8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 spans="1:41" ht="17.399999999999999" x14ac:dyDescent="0.3">
      <c r="D2" s="4"/>
      <c r="E2" s="4"/>
      <c r="F2" s="4"/>
      <c r="G2" s="4"/>
      <c r="H2" s="4"/>
      <c r="I2" s="4"/>
      <c r="J2" s="4"/>
      <c r="K2" s="4"/>
      <c r="L2" s="4"/>
      <c r="M2" s="6" t="s">
        <v>9</v>
      </c>
      <c r="N2" s="7" t="s">
        <v>63</v>
      </c>
      <c r="O2" s="8"/>
      <c r="P2" s="4"/>
      <c r="Q2" s="4"/>
      <c r="R2" s="4"/>
      <c r="S2" s="4"/>
      <c r="T2" s="4"/>
      <c r="U2" s="4"/>
      <c r="V2" s="4"/>
      <c r="W2" s="4"/>
      <c r="X2" s="4"/>
    </row>
    <row r="3" spans="1:41" x14ac:dyDescent="0.25">
      <c r="W3" s="3" t="s">
        <v>10</v>
      </c>
    </row>
    <row r="4" spans="1:41" ht="16.95" customHeight="1" x14ac:dyDescent="0.25">
      <c r="N4" s="9" t="s">
        <v>11</v>
      </c>
    </row>
    <row r="5" spans="1:41" ht="16.95" customHeight="1" x14ac:dyDescent="0.25">
      <c r="A5" s="9" t="s">
        <v>56</v>
      </c>
      <c r="D5" s="3" t="s">
        <v>10</v>
      </c>
      <c r="G5" s="10"/>
      <c r="H5" s="10"/>
      <c r="I5" s="10"/>
      <c r="J5" s="10"/>
      <c r="K5" s="10"/>
      <c r="L5" s="9" t="s">
        <v>12</v>
      </c>
      <c r="M5" s="9" t="s">
        <v>13</v>
      </c>
      <c r="N5" s="9" t="s">
        <v>14</v>
      </c>
      <c r="O5" s="9" t="s">
        <v>13</v>
      </c>
      <c r="R5" s="9" t="s">
        <v>12</v>
      </c>
      <c r="S5" s="9" t="s">
        <v>16</v>
      </c>
      <c r="W5" s="9" t="s">
        <v>12</v>
      </c>
      <c r="X5" s="9" t="s">
        <v>20</v>
      </c>
      <c r="Y5" s="3" t="s">
        <v>21</v>
      </c>
    </row>
    <row r="6" spans="1:41" ht="16.95" customHeight="1" x14ac:dyDescent="0.25">
      <c r="A6" s="9" t="s">
        <v>22</v>
      </c>
      <c r="B6" s="9" t="s">
        <v>23</v>
      </c>
      <c r="C6" s="9" t="s">
        <v>24</v>
      </c>
      <c r="D6" s="9" t="s">
        <v>25</v>
      </c>
      <c r="E6" s="9" t="s">
        <v>26</v>
      </c>
      <c r="F6" s="9" t="s">
        <v>27</v>
      </c>
      <c r="G6" s="11" t="s">
        <v>28</v>
      </c>
      <c r="H6" s="11" t="s">
        <v>29</v>
      </c>
      <c r="I6" s="12" t="s">
        <v>30</v>
      </c>
      <c r="J6" s="12">
        <v>794</v>
      </c>
      <c r="K6" s="11" t="s">
        <v>31</v>
      </c>
      <c r="L6" s="9" t="s">
        <v>32</v>
      </c>
      <c r="M6" s="9" t="s">
        <v>33</v>
      </c>
      <c r="N6" s="9" t="s">
        <v>34</v>
      </c>
      <c r="O6" s="9" t="s">
        <v>35</v>
      </c>
      <c r="P6" s="9" t="s">
        <v>47</v>
      </c>
      <c r="Q6" s="9" t="s">
        <v>15</v>
      </c>
      <c r="R6" s="9" t="s">
        <v>36</v>
      </c>
      <c r="S6" s="9" t="s">
        <v>37</v>
      </c>
      <c r="T6" s="9" t="s">
        <v>17</v>
      </c>
      <c r="U6" s="9" t="s">
        <v>18</v>
      </c>
      <c r="V6" s="9" t="s">
        <v>19</v>
      </c>
      <c r="W6" s="9" t="s">
        <v>37</v>
      </c>
      <c r="X6" s="9" t="s">
        <v>38</v>
      </c>
      <c r="Y6" s="3" t="s">
        <v>39</v>
      </c>
      <c r="AO6" s="1"/>
    </row>
    <row r="7" spans="1:41" ht="16.95" customHeight="1" x14ac:dyDescent="0.25">
      <c r="G7" s="10"/>
      <c r="H7" s="10"/>
      <c r="I7" s="10"/>
      <c r="J7" s="10"/>
      <c r="K7" s="10"/>
      <c r="AO7" s="1"/>
    </row>
    <row r="8" spans="1:41" ht="16.95" customHeight="1" x14ac:dyDescent="0.25">
      <c r="G8" s="10"/>
      <c r="H8" s="10"/>
      <c r="I8" s="10"/>
      <c r="J8" s="10"/>
      <c r="K8" s="10"/>
      <c r="AO8" s="1"/>
    </row>
    <row r="9" spans="1:41" ht="16.95" customHeight="1" x14ac:dyDescent="0.25">
      <c r="A9" s="18">
        <v>802</v>
      </c>
      <c r="B9">
        <v>191278691</v>
      </c>
      <c r="C9">
        <v>1781220</v>
      </c>
      <c r="D9" s="10">
        <f t="shared" ref="D9:D22" si="0">B9-C9</f>
        <v>189497471</v>
      </c>
      <c r="E9" s="10">
        <f>3571791+127244703</f>
        <v>130816494</v>
      </c>
      <c r="F9" s="10">
        <v>27996033</v>
      </c>
      <c r="G9" s="10">
        <v>8833646</v>
      </c>
      <c r="H9" s="10">
        <v>475474</v>
      </c>
      <c r="I9" s="10">
        <v>3877728</v>
      </c>
      <c r="J9" s="10">
        <v>3181350</v>
      </c>
      <c r="K9" s="10">
        <v>92395</v>
      </c>
      <c r="L9" s="10">
        <f t="shared" ref="L9:L22" si="1">SUM(G9:K9)</f>
        <v>16460593</v>
      </c>
      <c r="M9" s="10">
        <f t="shared" ref="M9:M22" si="2">SUM(D9:F9)+L9</f>
        <v>364770591</v>
      </c>
      <c r="N9" s="10">
        <v>333116956</v>
      </c>
      <c r="O9" s="10">
        <v>0</v>
      </c>
      <c r="P9" s="10">
        <v>0</v>
      </c>
      <c r="Q9" s="10">
        <v>1436882</v>
      </c>
      <c r="R9" s="10">
        <f>P9+Q9</f>
        <v>1436882</v>
      </c>
      <c r="S9" s="10">
        <v>1648691</v>
      </c>
      <c r="T9" s="10">
        <v>14377960</v>
      </c>
      <c r="U9" s="10"/>
      <c r="V9" s="10"/>
      <c r="W9" s="10">
        <f>T9+U9+V9</f>
        <v>14377960</v>
      </c>
      <c r="X9" s="10">
        <v>14190102</v>
      </c>
      <c r="Y9" s="10">
        <f t="shared" ref="Y9:Y22" si="3">N9+O9+R9+S9+W9+X9</f>
        <v>364770591</v>
      </c>
      <c r="Z9" s="11" t="str">
        <f t="shared" ref="Z9:Z22" si="4">IF(M9=Y9,"GOOD","ERROR")</f>
        <v>GOOD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N9" s="1"/>
      <c r="AO9" s="1"/>
    </row>
    <row r="10" spans="1:41" ht="16.95" customHeight="1" x14ac:dyDescent="0.25">
      <c r="A10" s="3" t="s">
        <v>48</v>
      </c>
      <c r="B10">
        <v>4707613</v>
      </c>
      <c r="C10">
        <v>31040</v>
      </c>
      <c r="D10" s="10">
        <f t="shared" si="0"/>
        <v>4676573</v>
      </c>
      <c r="E10" s="10">
        <f>91034+1135224</f>
        <v>1226258</v>
      </c>
      <c r="F10" s="10">
        <v>7961552</v>
      </c>
      <c r="G10" s="10">
        <v>0</v>
      </c>
      <c r="H10" s="10">
        <v>26695</v>
      </c>
      <c r="I10" s="10">
        <v>136471</v>
      </c>
      <c r="J10" s="10">
        <v>102137</v>
      </c>
      <c r="K10" s="10">
        <v>2950</v>
      </c>
      <c r="L10" s="10">
        <f t="shared" si="1"/>
        <v>268253</v>
      </c>
      <c r="M10" s="10">
        <f t="shared" si="2"/>
        <v>14132636</v>
      </c>
      <c r="N10" s="10">
        <v>10990627</v>
      </c>
      <c r="O10" s="10">
        <v>0</v>
      </c>
      <c r="P10" s="10">
        <v>0</v>
      </c>
      <c r="Q10" s="10">
        <v>45911</v>
      </c>
      <c r="R10" s="10">
        <f t="shared" ref="R10:R22" si="5">P10+Q10</f>
        <v>45911</v>
      </c>
      <c r="S10" s="10">
        <v>305116</v>
      </c>
      <c r="T10" s="10"/>
      <c r="U10" s="10"/>
      <c r="V10" s="10"/>
      <c r="W10" s="10">
        <f>T10+U10+V10</f>
        <v>0</v>
      </c>
      <c r="X10" s="10">
        <v>2790982</v>
      </c>
      <c r="Y10" s="10">
        <f t="shared" si="3"/>
        <v>14132636</v>
      </c>
      <c r="Z10" s="11" t="str">
        <f t="shared" si="4"/>
        <v>GOOD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N10" s="1"/>
      <c r="AO10" s="1"/>
    </row>
    <row r="11" spans="1:41" ht="16.95" customHeight="1" x14ac:dyDescent="0.25">
      <c r="A11" s="3" t="s">
        <v>51</v>
      </c>
      <c r="B11">
        <v>42984734</v>
      </c>
      <c r="C11">
        <v>42385</v>
      </c>
      <c r="D11" s="10">
        <f t="shared" si="0"/>
        <v>42942349</v>
      </c>
      <c r="E11" s="10">
        <f>338615+18002048</f>
        <v>18340663</v>
      </c>
      <c r="F11" s="10">
        <v>1743000</v>
      </c>
      <c r="G11" s="10">
        <v>1191124</v>
      </c>
      <c r="H11" s="10">
        <v>56476</v>
      </c>
      <c r="I11" s="10">
        <v>147999</v>
      </c>
      <c r="J11" s="10">
        <v>562794</v>
      </c>
      <c r="K11" s="10">
        <v>0</v>
      </c>
      <c r="L11" s="10">
        <f t="shared" si="1"/>
        <v>1958393</v>
      </c>
      <c r="M11" s="10">
        <f t="shared" si="2"/>
        <v>64984405</v>
      </c>
      <c r="N11" s="10">
        <v>57051092</v>
      </c>
      <c r="O11" s="10">
        <v>0</v>
      </c>
      <c r="P11" s="10">
        <v>0</v>
      </c>
      <c r="Q11" s="10">
        <v>414696</v>
      </c>
      <c r="R11" s="10">
        <f t="shared" si="5"/>
        <v>414696</v>
      </c>
      <c r="S11" s="10">
        <v>1500000</v>
      </c>
      <c r="T11" s="10"/>
      <c r="U11" s="10"/>
      <c r="V11" s="10"/>
      <c r="W11" s="10">
        <f>T11+U11+V11</f>
        <v>0</v>
      </c>
      <c r="X11" s="10">
        <v>6018617</v>
      </c>
      <c r="Y11" s="10">
        <f t="shared" si="3"/>
        <v>64984405</v>
      </c>
      <c r="Z11" s="11" t="str">
        <f t="shared" si="4"/>
        <v>GOOD</v>
      </c>
    </row>
    <row r="12" spans="1:41" ht="16.95" customHeight="1" x14ac:dyDescent="0.25">
      <c r="A12" s="3" t="s">
        <v>46</v>
      </c>
      <c r="B12">
        <v>78698322</v>
      </c>
      <c r="C12">
        <v>323656</v>
      </c>
      <c r="D12" s="10">
        <f t="shared" si="0"/>
        <v>78374666</v>
      </c>
      <c r="E12" s="10">
        <f>729608+10572696</f>
        <v>11302304</v>
      </c>
      <c r="F12" s="10">
        <v>63950</v>
      </c>
      <c r="G12" s="10">
        <v>0</v>
      </c>
      <c r="H12" s="10">
        <v>826386</v>
      </c>
      <c r="I12" s="10">
        <f>235437+328532</f>
        <v>563969</v>
      </c>
      <c r="J12" s="10">
        <v>765458</v>
      </c>
      <c r="K12" s="10">
        <v>0</v>
      </c>
      <c r="L12" s="10">
        <f t="shared" si="1"/>
        <v>2155813</v>
      </c>
      <c r="M12" s="10">
        <f t="shared" si="2"/>
        <v>91896733</v>
      </c>
      <c r="N12" s="10">
        <v>82682645</v>
      </c>
      <c r="O12" s="10">
        <v>0</v>
      </c>
      <c r="P12" s="10">
        <v>76</v>
      </c>
      <c r="Q12" s="10">
        <v>439953</v>
      </c>
      <c r="R12" s="10">
        <f t="shared" si="5"/>
        <v>440029</v>
      </c>
      <c r="S12" s="10">
        <v>1105767</v>
      </c>
      <c r="T12" s="10">
        <v>470075</v>
      </c>
      <c r="U12" s="10"/>
      <c r="V12" s="10"/>
      <c r="W12" s="10">
        <f>T12+U12+V12</f>
        <v>470075</v>
      </c>
      <c r="X12" s="10">
        <v>7198217</v>
      </c>
      <c r="Y12" s="10">
        <f t="shared" si="3"/>
        <v>91896733</v>
      </c>
      <c r="Z12" s="11" t="str">
        <f t="shared" si="4"/>
        <v>GOOD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N12" s="1"/>
      <c r="AO12" s="1"/>
    </row>
    <row r="13" spans="1:41" ht="16.95" customHeight="1" x14ac:dyDescent="0.25">
      <c r="A13" s="3" t="s">
        <v>0</v>
      </c>
      <c r="B13">
        <v>10837620</v>
      </c>
      <c r="C13">
        <v>124519</v>
      </c>
      <c r="D13" s="10">
        <f>B13-C13</f>
        <v>10713101</v>
      </c>
      <c r="E13" s="10">
        <f>291934+4127828</f>
        <v>4419762</v>
      </c>
      <c r="F13" s="10">
        <v>2732411</v>
      </c>
      <c r="G13" s="10">
        <v>174407</v>
      </c>
      <c r="H13" s="10">
        <v>153</v>
      </c>
      <c r="I13" s="10">
        <v>29434</v>
      </c>
      <c r="J13" s="10">
        <v>154223</v>
      </c>
      <c r="K13" s="10">
        <v>0</v>
      </c>
      <c r="L13" s="10">
        <f>SUM(G13:K13)</f>
        <v>358217</v>
      </c>
      <c r="M13" s="10">
        <f>SUM(D13:F13)+L13</f>
        <v>18223491</v>
      </c>
      <c r="N13" s="10">
        <v>16528630</v>
      </c>
      <c r="O13" s="10">
        <v>0</v>
      </c>
      <c r="P13" s="10">
        <v>0</v>
      </c>
      <c r="Q13" s="10">
        <v>71000</v>
      </c>
      <c r="R13" s="10">
        <f t="shared" si="5"/>
        <v>71000</v>
      </c>
      <c r="S13" s="10">
        <v>288682</v>
      </c>
      <c r="T13" s="10"/>
      <c r="U13" s="10"/>
      <c r="V13" s="10"/>
      <c r="W13" s="10">
        <f>T13+U13+V13</f>
        <v>0</v>
      </c>
      <c r="X13" s="10">
        <v>1335179</v>
      </c>
      <c r="Y13" s="10">
        <f>N13+O13+R13+S13+W13+X13</f>
        <v>18223491</v>
      </c>
      <c r="Z13" s="11" t="str">
        <f>IF(M13=Y13,"GOOD","ERROR")</f>
        <v>GOOD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N13" s="1"/>
      <c r="AO13" s="1"/>
    </row>
    <row r="14" spans="1:41" ht="16.95" customHeight="1" x14ac:dyDescent="0.25">
      <c r="B14"/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N14" s="1"/>
      <c r="AO14" s="1"/>
    </row>
    <row r="15" spans="1:41" ht="16.95" customHeight="1" x14ac:dyDescent="0.25">
      <c r="A15" s="3" t="s">
        <v>40</v>
      </c>
      <c r="B15">
        <v>2196707</v>
      </c>
      <c r="C15">
        <v>35433</v>
      </c>
      <c r="D15" s="10">
        <f t="shared" si="0"/>
        <v>2161274</v>
      </c>
      <c r="E15" s="10">
        <f>42357+3251892</f>
        <v>3294249</v>
      </c>
      <c r="F15" s="10">
        <v>759207</v>
      </c>
      <c r="G15" s="10">
        <v>0</v>
      </c>
      <c r="H15" s="10">
        <v>3674</v>
      </c>
      <c r="I15" s="10">
        <v>0</v>
      </c>
      <c r="J15" s="10">
        <v>48657</v>
      </c>
      <c r="K15" s="10">
        <v>0</v>
      </c>
      <c r="L15" s="10">
        <f t="shared" si="1"/>
        <v>52331</v>
      </c>
      <c r="M15" s="10">
        <f t="shared" si="2"/>
        <v>6267061</v>
      </c>
      <c r="N15" s="10">
        <v>5695277</v>
      </c>
      <c r="O15" s="10">
        <v>0</v>
      </c>
      <c r="P15" s="10">
        <v>3073</v>
      </c>
      <c r="Q15" s="10">
        <v>2999</v>
      </c>
      <c r="R15" s="10">
        <f t="shared" si="5"/>
        <v>6072</v>
      </c>
      <c r="S15" s="10">
        <v>127927</v>
      </c>
      <c r="T15" s="10"/>
      <c r="U15" s="10"/>
      <c r="V15" s="10"/>
      <c r="W15" s="10">
        <f>T15+U15+V15</f>
        <v>0</v>
      </c>
      <c r="X15" s="10">
        <v>437785</v>
      </c>
      <c r="Y15" s="10">
        <f t="shared" si="3"/>
        <v>6267061</v>
      </c>
      <c r="Z15" s="11" t="str">
        <f t="shared" si="4"/>
        <v>GOOD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N15" s="1"/>
      <c r="AO15" s="1"/>
    </row>
    <row r="16" spans="1:41" ht="16.95" customHeight="1" x14ac:dyDescent="0.25">
      <c r="A16" s="3" t="s">
        <v>52</v>
      </c>
      <c r="B16">
        <v>159283157</v>
      </c>
      <c r="C16">
        <v>799000</v>
      </c>
      <c r="D16" s="10">
        <f>B16-C16</f>
        <v>158484157</v>
      </c>
      <c r="E16" s="10">
        <f>2187592+23306535</f>
        <v>25494127</v>
      </c>
      <c r="F16" s="10">
        <v>33331354</v>
      </c>
      <c r="G16" s="10">
        <v>3848201</v>
      </c>
      <c r="H16" s="10">
        <v>946836</v>
      </c>
      <c r="I16" s="10">
        <v>6781606</v>
      </c>
      <c r="J16" s="10">
        <v>2102346</v>
      </c>
      <c r="K16" s="10">
        <v>115341</v>
      </c>
      <c r="L16" s="10">
        <f>SUM(G16:K16)</f>
        <v>13794330</v>
      </c>
      <c r="M16" s="10">
        <f>SUM(D16:F16)+L16</f>
        <v>231103968</v>
      </c>
      <c r="N16" s="10">
        <v>214474159</v>
      </c>
      <c r="O16" s="10">
        <v>0</v>
      </c>
      <c r="P16" s="10">
        <v>0</v>
      </c>
      <c r="Q16" s="10">
        <v>302819</v>
      </c>
      <c r="R16" s="10">
        <f t="shared" si="5"/>
        <v>302819</v>
      </c>
      <c r="S16" s="10">
        <v>2668322</v>
      </c>
      <c r="T16" s="10">
        <v>2572349</v>
      </c>
      <c r="U16" s="10">
        <v>-592546</v>
      </c>
      <c r="V16" s="10">
        <v>0</v>
      </c>
      <c r="W16" s="10">
        <f>T16+U16+V16</f>
        <v>1979803</v>
      </c>
      <c r="X16" s="10">
        <v>11678865</v>
      </c>
      <c r="Y16" s="10">
        <f>N16+O16+R16+S16+W16+X16</f>
        <v>231103968</v>
      </c>
      <c r="Z16" s="11" t="str">
        <f>IF(M16=Y16,"GOOD","ERROR")</f>
        <v>GOOD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N16" s="1"/>
      <c r="AO16" s="1"/>
    </row>
    <row r="17" spans="1:42" ht="16.95" customHeight="1" x14ac:dyDescent="0.25">
      <c r="A17" s="3" t="s">
        <v>50</v>
      </c>
      <c r="B17">
        <f>1106600+42415106</f>
        <v>43521706</v>
      </c>
      <c r="C17">
        <v>324640</v>
      </c>
      <c r="D17" s="10">
        <f>B17-C17</f>
        <v>43197066</v>
      </c>
      <c r="E17" s="10">
        <f>419614+13164971</f>
        <v>13584585</v>
      </c>
      <c r="F17" s="10">
        <v>1315710</v>
      </c>
      <c r="G17" s="10">
        <v>0</v>
      </c>
      <c r="H17" s="10">
        <v>39861</v>
      </c>
      <c r="I17" s="10">
        <v>1239405</v>
      </c>
      <c r="J17" s="10">
        <v>333188</v>
      </c>
      <c r="K17" s="10">
        <v>0</v>
      </c>
      <c r="L17" s="10">
        <f>SUM(G17:K17)</f>
        <v>1612454</v>
      </c>
      <c r="M17" s="10">
        <f>SUM(D17:F17)+L17</f>
        <v>59709815</v>
      </c>
      <c r="N17" s="10">
        <v>46204317</v>
      </c>
      <c r="O17" s="10">
        <v>5895480</v>
      </c>
      <c r="P17" s="10">
        <v>304</v>
      </c>
      <c r="Q17" s="10">
        <v>1385987</v>
      </c>
      <c r="R17" s="10">
        <f t="shared" si="5"/>
        <v>1386291</v>
      </c>
      <c r="S17" s="10">
        <v>1534865</v>
      </c>
      <c r="T17" s="10">
        <v>2109925</v>
      </c>
      <c r="U17" s="10">
        <v>0</v>
      </c>
      <c r="V17" s="10">
        <v>0</v>
      </c>
      <c r="W17" s="10">
        <f>T17+U17+V17</f>
        <v>2109925</v>
      </c>
      <c r="X17" s="10">
        <v>2578937</v>
      </c>
      <c r="Y17" s="10">
        <f>N17+O17+R17+S17+W17+X17</f>
        <v>59709815</v>
      </c>
      <c r="Z17" s="11" t="str">
        <f>IF(M17=Y17,"GOOD","ERROR")</f>
        <v>GOOD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N17" s="1"/>
      <c r="AO17" s="1"/>
    </row>
    <row r="18" spans="1:42" ht="16.95" customHeight="1" x14ac:dyDescent="0.25">
      <c r="A18" s="3" t="s">
        <v>1</v>
      </c>
      <c r="B18">
        <v>5646283</v>
      </c>
      <c r="C18">
        <v>8190</v>
      </c>
      <c r="D18" s="10">
        <f t="shared" si="0"/>
        <v>5638093</v>
      </c>
      <c r="E18" s="10">
        <f>139787+1783326</f>
        <v>1923113</v>
      </c>
      <c r="F18" s="10">
        <v>15391</v>
      </c>
      <c r="G18" s="10">
        <v>0</v>
      </c>
      <c r="H18" s="10">
        <v>14795</v>
      </c>
      <c r="I18" s="10">
        <v>22062</v>
      </c>
      <c r="J18" s="10">
        <v>67079</v>
      </c>
      <c r="K18" s="10">
        <v>0</v>
      </c>
      <c r="L18" s="10">
        <f t="shared" si="1"/>
        <v>103936</v>
      </c>
      <c r="M18" s="10">
        <f t="shared" si="2"/>
        <v>7680533</v>
      </c>
      <c r="N18" s="10">
        <v>6910203</v>
      </c>
      <c r="O18" s="10">
        <v>0</v>
      </c>
      <c r="P18" s="10">
        <v>4541</v>
      </c>
      <c r="Q18" s="10">
        <v>14862</v>
      </c>
      <c r="R18" s="10">
        <f t="shared" si="5"/>
        <v>19403</v>
      </c>
      <c r="S18" s="10">
        <v>142699</v>
      </c>
      <c r="T18" s="10">
        <v>0</v>
      </c>
      <c r="U18" s="10">
        <v>0</v>
      </c>
      <c r="V18" s="10">
        <v>0</v>
      </c>
      <c r="W18" s="10">
        <f>T18+U18+V18</f>
        <v>0</v>
      </c>
      <c r="X18" s="10">
        <v>608228</v>
      </c>
      <c r="Y18" s="10">
        <f t="shared" si="3"/>
        <v>7680533</v>
      </c>
      <c r="Z18" s="11" t="str">
        <f t="shared" si="4"/>
        <v>GOOD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N18" s="1"/>
      <c r="AO18" s="1"/>
    </row>
    <row r="19" spans="1:42" ht="16.95" customHeight="1" x14ac:dyDescent="0.25">
      <c r="A19" s="3" t="s">
        <v>41</v>
      </c>
      <c r="B19">
        <v>383409</v>
      </c>
      <c r="C19">
        <v>10520</v>
      </c>
      <c r="D19" s="10">
        <f t="shared" si="0"/>
        <v>372889</v>
      </c>
      <c r="E19" s="10">
        <v>268751</v>
      </c>
      <c r="F19" s="10">
        <v>0</v>
      </c>
      <c r="G19" s="10">
        <v>0</v>
      </c>
      <c r="H19" s="10">
        <v>0</v>
      </c>
      <c r="I19" s="10">
        <v>0</v>
      </c>
      <c r="J19" s="10">
        <v>5289</v>
      </c>
      <c r="K19" s="10">
        <v>0</v>
      </c>
      <c r="L19" s="10">
        <f t="shared" si="1"/>
        <v>5289</v>
      </c>
      <c r="M19" s="10">
        <f t="shared" si="2"/>
        <v>646929</v>
      </c>
      <c r="N19" s="10">
        <v>580011</v>
      </c>
      <c r="O19" s="10">
        <v>0</v>
      </c>
      <c r="P19" s="10">
        <v>0</v>
      </c>
      <c r="Q19" s="10">
        <v>193</v>
      </c>
      <c r="R19" s="10">
        <f t="shared" si="5"/>
        <v>193</v>
      </c>
      <c r="S19" s="10">
        <v>34773</v>
      </c>
      <c r="T19" s="10">
        <v>0</v>
      </c>
      <c r="U19" s="10">
        <v>0</v>
      </c>
      <c r="V19" s="10">
        <v>0</v>
      </c>
      <c r="W19" s="10">
        <f>T19+U19+V19</f>
        <v>0</v>
      </c>
      <c r="X19" s="10">
        <v>31952</v>
      </c>
      <c r="Y19" s="10">
        <f t="shared" si="3"/>
        <v>646929</v>
      </c>
      <c r="Z19" s="11" t="str">
        <f t="shared" si="4"/>
        <v>GOOD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N19" s="1"/>
      <c r="AO19" s="1"/>
    </row>
    <row r="20" spans="1:42" ht="16.95" customHeight="1" x14ac:dyDescent="0.25">
      <c r="B20"/>
      <c r="C2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N20" s="1"/>
      <c r="AO20" s="1"/>
    </row>
    <row r="21" spans="1:42" ht="16.95" customHeight="1" x14ac:dyDescent="0.25">
      <c r="A21" s="3" t="s">
        <v>2</v>
      </c>
      <c r="B21" s="17">
        <v>877853218</v>
      </c>
      <c r="C21">
        <v>4513758</v>
      </c>
      <c r="D21" s="10">
        <f t="shared" si="0"/>
        <v>873339460</v>
      </c>
      <c r="E21" s="10">
        <f>7418862+25596052</f>
        <v>33014914</v>
      </c>
      <c r="F21" s="10">
        <v>139851267</v>
      </c>
      <c r="G21" s="10">
        <v>10837915</v>
      </c>
      <c r="H21" s="10">
        <v>3282154</v>
      </c>
      <c r="I21" s="10">
        <v>18927173</v>
      </c>
      <c r="J21" s="10">
        <v>8871998</v>
      </c>
      <c r="K21" s="10">
        <v>14755</v>
      </c>
      <c r="L21" s="10">
        <f t="shared" si="1"/>
        <v>41933995</v>
      </c>
      <c r="M21" s="10">
        <f t="shared" si="2"/>
        <v>1088139636</v>
      </c>
      <c r="N21" s="10">
        <v>981861084</v>
      </c>
      <c r="O21" s="10">
        <v>385000</v>
      </c>
      <c r="P21" s="10">
        <v>28160</v>
      </c>
      <c r="Q21" s="10">
        <v>10550086</v>
      </c>
      <c r="R21" s="10">
        <f t="shared" si="5"/>
        <v>10578246</v>
      </c>
      <c r="S21" s="10">
        <v>11953743</v>
      </c>
      <c r="T21" s="10">
        <v>813177</v>
      </c>
      <c r="U21" s="10">
        <f>53547-1039182</f>
        <v>-985635</v>
      </c>
      <c r="V21" s="10"/>
      <c r="W21" s="10">
        <f>T21+U21+V21</f>
        <v>-172458</v>
      </c>
      <c r="X21" s="10">
        <v>83534021</v>
      </c>
      <c r="Y21" s="10">
        <f t="shared" si="3"/>
        <v>1088139636</v>
      </c>
      <c r="Z21" s="11" t="str">
        <f t="shared" si="4"/>
        <v>GOOD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N21" s="1"/>
      <c r="AO21" s="1"/>
    </row>
    <row r="22" spans="1:42" ht="16.95" customHeight="1" x14ac:dyDescent="0.25">
      <c r="A22" s="3" t="s">
        <v>3</v>
      </c>
      <c r="B22">
        <v>26864747</v>
      </c>
      <c r="C22">
        <v>32029</v>
      </c>
      <c r="D22" s="10">
        <f t="shared" si="0"/>
        <v>26832718</v>
      </c>
      <c r="E22" s="10">
        <f>753722+11651323</f>
        <v>12405045</v>
      </c>
      <c r="F22" s="10">
        <v>10347920</v>
      </c>
      <c r="G22" s="10">
        <v>784823</v>
      </c>
      <c r="H22" s="10">
        <v>117269</v>
      </c>
      <c r="I22" s="10">
        <v>284646</v>
      </c>
      <c r="J22" s="10">
        <v>482949</v>
      </c>
      <c r="K22" s="10">
        <v>0</v>
      </c>
      <c r="L22" s="10">
        <f t="shared" si="1"/>
        <v>1669687</v>
      </c>
      <c r="M22" s="10">
        <f t="shared" si="2"/>
        <v>51255370</v>
      </c>
      <c r="N22" s="10">
        <v>47030569</v>
      </c>
      <c r="O22" s="10">
        <v>0</v>
      </c>
      <c r="P22" s="10">
        <v>1</v>
      </c>
      <c r="Q22" s="10">
        <v>576435</v>
      </c>
      <c r="R22" s="10">
        <f t="shared" si="5"/>
        <v>576436</v>
      </c>
      <c r="S22" s="10">
        <v>595280</v>
      </c>
      <c r="T22" s="10">
        <v>0</v>
      </c>
      <c r="U22" s="10">
        <v>-31799</v>
      </c>
      <c r="V22" s="10">
        <v>0</v>
      </c>
      <c r="W22" s="10">
        <f>T22+U22+V22</f>
        <v>-31799</v>
      </c>
      <c r="X22" s="10">
        <v>3084884</v>
      </c>
      <c r="Y22" s="10">
        <f t="shared" si="3"/>
        <v>51255370</v>
      </c>
      <c r="Z22" s="11" t="str">
        <f t="shared" si="4"/>
        <v>GOOD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N22" s="1"/>
      <c r="AO22" s="1"/>
    </row>
    <row r="23" spans="1:42" ht="16.95" customHeight="1" x14ac:dyDescent="0.25">
      <c r="B23"/>
      <c r="C2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N23" s="1"/>
      <c r="AO23" s="1"/>
    </row>
    <row r="24" spans="1:42" ht="16.95" customHeight="1" x14ac:dyDescent="0.25">
      <c r="B24" s="13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N24" s="1"/>
      <c r="AO24" s="1"/>
    </row>
    <row r="25" spans="1:42" ht="16.95" customHeight="1" x14ac:dyDescent="0.25">
      <c r="A25" s="3" t="s">
        <v>60</v>
      </c>
      <c r="B25" s="10">
        <f t="shared" ref="B25:Y25" si="6">SUM(B9:B24)</f>
        <v>1444256207</v>
      </c>
      <c r="C25" s="10">
        <f t="shared" si="6"/>
        <v>8026390</v>
      </c>
      <c r="D25" s="10">
        <f t="shared" si="6"/>
        <v>1436229817</v>
      </c>
      <c r="E25" s="10">
        <f t="shared" si="6"/>
        <v>256090265</v>
      </c>
      <c r="F25" s="10">
        <f t="shared" si="6"/>
        <v>226117795</v>
      </c>
      <c r="G25" s="10">
        <f t="shared" si="6"/>
        <v>25670116</v>
      </c>
      <c r="H25" s="10">
        <f t="shared" si="6"/>
        <v>5789773</v>
      </c>
      <c r="I25" s="10">
        <f t="shared" si="6"/>
        <v>32010493</v>
      </c>
      <c r="J25" s="10">
        <f t="shared" si="6"/>
        <v>16677468</v>
      </c>
      <c r="K25" s="10">
        <f t="shared" si="6"/>
        <v>225441</v>
      </c>
      <c r="L25" s="10">
        <f t="shared" si="6"/>
        <v>80373291</v>
      </c>
      <c r="M25" s="10">
        <f t="shared" si="6"/>
        <v>1998811168</v>
      </c>
      <c r="N25" s="10">
        <f t="shared" si="6"/>
        <v>1803125570</v>
      </c>
      <c r="O25" s="10">
        <f t="shared" si="6"/>
        <v>6280480</v>
      </c>
      <c r="P25" s="10">
        <f t="shared" si="6"/>
        <v>36155</v>
      </c>
      <c r="Q25" s="10">
        <f t="shared" si="6"/>
        <v>15241823</v>
      </c>
      <c r="R25" s="10">
        <f t="shared" si="6"/>
        <v>15277978</v>
      </c>
      <c r="S25" s="10">
        <f t="shared" si="6"/>
        <v>21905865</v>
      </c>
      <c r="T25" s="10">
        <f t="shared" si="6"/>
        <v>20343486</v>
      </c>
      <c r="U25" s="10">
        <f t="shared" si="6"/>
        <v>-1609980</v>
      </c>
      <c r="V25" s="10">
        <f t="shared" si="6"/>
        <v>0</v>
      </c>
      <c r="W25" s="10">
        <f t="shared" si="6"/>
        <v>18733506</v>
      </c>
      <c r="X25" s="10">
        <f t="shared" si="6"/>
        <v>133487769</v>
      </c>
      <c r="Y25" s="10">
        <f t="shared" si="6"/>
        <v>1998811168</v>
      </c>
      <c r="Z25" s="11" t="str">
        <f>IF(M25=Y25,"GOOD","ERROR")</f>
        <v>GOOD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N25" s="1"/>
      <c r="AO25" s="1"/>
      <c r="AP25" s="1"/>
    </row>
    <row r="26" spans="1:42" ht="16.95" customHeight="1" x14ac:dyDescent="0.25">
      <c r="A26" s="3" t="s">
        <v>42</v>
      </c>
      <c r="D26" s="14">
        <f>D25/$M25</f>
        <v>0.71854202137417711</v>
      </c>
      <c r="E26" s="14">
        <f>E25/$M25</f>
        <v>0.12812128984462429</v>
      </c>
      <c r="F26" s="14">
        <f>F25/$M25</f>
        <v>0.11312614148851904</v>
      </c>
      <c r="L26" s="14">
        <f>L25/$M25</f>
        <v>4.0210547292679526E-2</v>
      </c>
      <c r="M26" s="14">
        <f>M25/$M25</f>
        <v>1</v>
      </c>
      <c r="N26" s="14">
        <f>N25/M25</f>
        <v>0.90209900708339452</v>
      </c>
      <c r="O26" s="14">
        <f>O25/$M25</f>
        <v>3.1421077191019576E-3</v>
      </c>
      <c r="R26" s="14">
        <f>R25/$M25</f>
        <v>7.643532437977653E-3</v>
      </c>
      <c r="S26" s="14">
        <f>S25/$M25</f>
        <v>1.0959446970630494E-2</v>
      </c>
      <c r="W26" s="14">
        <f>W25/$M25</f>
        <v>9.3723240593780784E-3</v>
      </c>
      <c r="X26" s="14">
        <f>X25/$M25</f>
        <v>6.678358172951733E-2</v>
      </c>
      <c r="Z26" s="14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N26" s="2"/>
      <c r="AO26" s="2"/>
    </row>
    <row r="27" spans="1:42" ht="16.95" customHeight="1" x14ac:dyDescent="0.25">
      <c r="N27" s="3" t="s">
        <v>10</v>
      </c>
      <c r="AO27" s="1"/>
    </row>
    <row r="28" spans="1:42" ht="16.95" customHeight="1" x14ac:dyDescent="0.25">
      <c r="A28" s="3" t="s">
        <v>57</v>
      </c>
      <c r="B28" s="3">
        <v>1346290878</v>
      </c>
      <c r="C28" s="3">
        <v>9501598</v>
      </c>
      <c r="D28" s="10">
        <v>1336789280</v>
      </c>
      <c r="E28" s="10">
        <v>223996965</v>
      </c>
      <c r="F28" s="10">
        <v>170958496</v>
      </c>
      <c r="G28" s="10">
        <v>26233949</v>
      </c>
      <c r="H28" s="10">
        <v>6255605</v>
      </c>
      <c r="I28" s="10">
        <v>27466646</v>
      </c>
      <c r="J28" s="10">
        <v>14387982</v>
      </c>
      <c r="K28" s="10">
        <v>202428</v>
      </c>
      <c r="L28" s="10">
        <v>74546610</v>
      </c>
      <c r="M28" s="10">
        <v>1806291351</v>
      </c>
      <c r="N28" s="10">
        <v>1626159358</v>
      </c>
      <c r="O28" s="10">
        <v>5680480</v>
      </c>
      <c r="P28" s="10">
        <v>106834</v>
      </c>
      <c r="Q28" s="10">
        <v>14096029</v>
      </c>
      <c r="R28" s="10">
        <v>14202863</v>
      </c>
      <c r="S28" s="10">
        <v>21905164</v>
      </c>
      <c r="T28" s="10">
        <v>20343486</v>
      </c>
      <c r="U28" s="10">
        <v>2541513</v>
      </c>
      <c r="V28" s="10">
        <v>0</v>
      </c>
      <c r="W28" s="10">
        <v>22884999</v>
      </c>
      <c r="X28" s="10">
        <v>115458487</v>
      </c>
      <c r="Y28" s="10">
        <v>1806291351</v>
      </c>
      <c r="Z28" s="11" t="str">
        <f>IF(M28=Y28,"GOOD","ERROR")</f>
        <v>GOOD</v>
      </c>
      <c r="AA28" s="1"/>
      <c r="AB28" s="1"/>
      <c r="AC28" s="1"/>
      <c r="AD28" s="1"/>
      <c r="AF28" s="1"/>
      <c r="AG28" s="1"/>
      <c r="AH28" s="1"/>
      <c r="AI28" s="1"/>
      <c r="AJ28" s="1"/>
      <c r="AK28" s="1"/>
      <c r="AN28" s="1"/>
      <c r="AO28" s="1"/>
      <c r="AP28" s="1"/>
    </row>
    <row r="29" spans="1:42" ht="16.95" customHeight="1" x14ac:dyDescent="0.25">
      <c r="AO29" s="1"/>
    </row>
    <row r="30" spans="1:42" ht="16.95" customHeight="1" x14ac:dyDescent="0.25">
      <c r="A30" s="3" t="s">
        <v>43</v>
      </c>
      <c r="D30" s="10">
        <f>D25-D28</f>
        <v>99440537</v>
      </c>
      <c r="E30" s="10">
        <f>E25-E28</f>
        <v>32093300</v>
      </c>
      <c r="F30" s="10">
        <f>F25-F28</f>
        <v>55159299</v>
      </c>
      <c r="L30" s="10">
        <f>L25-L28</f>
        <v>5826681</v>
      </c>
      <c r="M30" s="10">
        <f>M25-M28</f>
        <v>192519817</v>
      </c>
      <c r="N30" s="10">
        <f>N25-N28</f>
        <v>176966212</v>
      </c>
      <c r="O30" s="10">
        <f>O25-O28</f>
        <v>600000</v>
      </c>
      <c r="R30" s="10">
        <f>R25-R28</f>
        <v>1075115</v>
      </c>
      <c r="S30" s="10">
        <f>S25-S28</f>
        <v>701</v>
      </c>
      <c r="W30" s="10">
        <f>W25-W28</f>
        <v>-4151493</v>
      </c>
      <c r="X30" s="10">
        <f>X25-X28</f>
        <v>18029282</v>
      </c>
      <c r="Y30" s="10">
        <f>Y25-Y28</f>
        <v>192519817</v>
      </c>
      <c r="Z30" s="11" t="str">
        <f>IF(M30=Y30,"GOOD","ERROR")</f>
        <v>GOOD</v>
      </c>
      <c r="AA30" s="1"/>
      <c r="AB30" s="1"/>
      <c r="AC30" s="1"/>
      <c r="AD30" s="1"/>
      <c r="AF30" s="1"/>
      <c r="AG30" s="1"/>
      <c r="AH30" s="1"/>
      <c r="AI30" s="1"/>
      <c r="AJ30" s="1"/>
      <c r="AK30" s="1"/>
      <c r="AN30" s="1"/>
      <c r="AO30" s="1"/>
    </row>
    <row r="31" spans="1:42" ht="16.95" customHeight="1" x14ac:dyDescent="0.25">
      <c r="A31" s="3" t="s">
        <v>44</v>
      </c>
      <c r="D31" s="14">
        <f>D30/D28</f>
        <v>7.4387593084229403E-2</v>
      </c>
      <c r="E31" s="14">
        <f>E30/E28</f>
        <v>0.14327560197076777</v>
      </c>
      <c r="F31" s="14">
        <f>F30/F28</f>
        <v>0.32264731084204201</v>
      </c>
      <c r="L31" s="14">
        <f>L30/L28</f>
        <v>7.8161582397911863E-2</v>
      </c>
      <c r="M31" s="14">
        <f>M30/M28</f>
        <v>0.1065829257796186</v>
      </c>
      <c r="N31" s="14">
        <f>N30/N28</f>
        <v>0.1088246432487707</v>
      </c>
      <c r="O31" s="14">
        <f>O30/O28</f>
        <v>0.10562487677097709</v>
      </c>
      <c r="R31" s="14">
        <f>R30/R28</f>
        <v>7.5697061923360107E-2</v>
      </c>
      <c r="S31" s="14">
        <f>S30/S28</f>
        <v>3.2001586475225657E-5</v>
      </c>
      <c r="W31" s="14">
        <f>W30/W28</f>
        <v>-0.18140673722555112</v>
      </c>
      <c r="X31" s="14">
        <f>X30/X28</f>
        <v>0.15615380444055188</v>
      </c>
      <c r="Y31" s="14">
        <f>Y30/Y28</f>
        <v>0.1065829257796186</v>
      </c>
      <c r="Z31" s="14"/>
      <c r="AA31" s="2"/>
      <c r="AB31" s="2"/>
      <c r="AC31" s="2"/>
      <c r="AD31" s="2"/>
      <c r="AF31" s="2"/>
      <c r="AG31" s="2"/>
      <c r="AH31" s="2"/>
      <c r="AI31" s="2"/>
      <c r="AJ31" s="2"/>
      <c r="AK31" s="2"/>
      <c r="AN31" s="2"/>
      <c r="AO31" s="1"/>
    </row>
    <row r="32" spans="1:42" ht="16.95" customHeight="1" x14ac:dyDescent="0.25"/>
    <row r="33" spans="1:42" ht="16.95" customHeight="1" x14ac:dyDescent="0.25"/>
    <row r="34" spans="1:42" ht="16.95" customHeight="1" x14ac:dyDescent="0.25">
      <c r="N34" s="9" t="s">
        <v>11</v>
      </c>
    </row>
    <row r="35" spans="1:42" ht="16.95" customHeight="1" x14ac:dyDescent="0.25">
      <c r="A35" s="9" t="s">
        <v>55</v>
      </c>
      <c r="D35" s="3" t="s">
        <v>10</v>
      </c>
      <c r="G35" s="10"/>
      <c r="H35" s="10"/>
      <c r="I35" s="10"/>
      <c r="J35" s="10"/>
      <c r="K35" s="10"/>
      <c r="L35" s="9" t="s">
        <v>12</v>
      </c>
      <c r="M35" s="9" t="s">
        <v>13</v>
      </c>
      <c r="N35" s="9" t="s">
        <v>14</v>
      </c>
      <c r="O35" s="9" t="s">
        <v>13</v>
      </c>
      <c r="R35" s="9" t="s">
        <v>12</v>
      </c>
      <c r="S35" s="9" t="s">
        <v>16</v>
      </c>
      <c r="W35" s="9" t="s">
        <v>12</v>
      </c>
      <c r="X35" s="9" t="s">
        <v>20</v>
      </c>
      <c r="Y35" s="3" t="s">
        <v>21</v>
      </c>
    </row>
    <row r="36" spans="1:42" ht="16.95" customHeight="1" x14ac:dyDescent="0.25">
      <c r="A36" s="9" t="s">
        <v>22</v>
      </c>
      <c r="B36" s="9" t="s">
        <v>23</v>
      </c>
      <c r="C36" s="9">
        <v>719</v>
      </c>
      <c r="D36" s="9" t="s">
        <v>25</v>
      </c>
      <c r="E36" s="9" t="s">
        <v>26</v>
      </c>
      <c r="F36" s="9" t="s">
        <v>27</v>
      </c>
      <c r="G36" s="11" t="s">
        <v>28</v>
      </c>
      <c r="H36" s="11" t="s">
        <v>29</v>
      </c>
      <c r="I36" s="11" t="s">
        <v>30</v>
      </c>
      <c r="J36" s="12">
        <v>794</v>
      </c>
      <c r="K36" s="11" t="s">
        <v>31</v>
      </c>
      <c r="L36" s="9" t="s">
        <v>32</v>
      </c>
      <c r="M36" s="9" t="s">
        <v>33</v>
      </c>
      <c r="N36" s="9" t="s">
        <v>34</v>
      </c>
      <c r="O36" s="9" t="s">
        <v>35</v>
      </c>
      <c r="P36" s="9" t="s">
        <v>47</v>
      </c>
      <c r="Q36" s="9" t="s">
        <v>15</v>
      </c>
      <c r="R36" s="9" t="s">
        <v>36</v>
      </c>
      <c r="S36" s="9" t="s">
        <v>37</v>
      </c>
      <c r="T36" s="9" t="s">
        <v>17</v>
      </c>
      <c r="U36" s="9" t="s">
        <v>18</v>
      </c>
      <c r="V36" s="9" t="s">
        <v>19</v>
      </c>
      <c r="W36" s="9" t="s">
        <v>37</v>
      </c>
      <c r="X36" s="9" t="s">
        <v>38</v>
      </c>
      <c r="Y36" s="3" t="s">
        <v>39</v>
      </c>
    </row>
    <row r="37" spans="1:42" ht="16.95" customHeight="1" x14ac:dyDescent="0.25"/>
    <row r="38" spans="1:42" ht="16.95" customHeight="1" x14ac:dyDescent="0.25">
      <c r="A38" s="3" t="s">
        <v>49</v>
      </c>
      <c r="B38">
        <f>9824856+417190591</f>
        <v>427015447</v>
      </c>
      <c r="C38">
        <v>3727646</v>
      </c>
      <c r="D38" s="10">
        <f>B38-C38</f>
        <v>423287801</v>
      </c>
      <c r="E38" s="10">
        <f>3684095+124977666</f>
        <v>128661761</v>
      </c>
      <c r="F38" s="10">
        <v>106633970</v>
      </c>
      <c r="G38" s="10">
        <v>17125311</v>
      </c>
      <c r="H38" s="10">
        <v>2202699</v>
      </c>
      <c r="I38" s="10">
        <v>14449818</v>
      </c>
      <c r="J38" s="10">
        <v>5886155</v>
      </c>
      <c r="K38" s="10">
        <v>1295363</v>
      </c>
      <c r="L38" s="10">
        <f>SUM(G38:K38)</f>
        <v>40959346</v>
      </c>
      <c r="M38" s="10">
        <f>SUM(D38:F38)+L38</f>
        <v>699542878</v>
      </c>
      <c r="N38" s="10">
        <v>635771962</v>
      </c>
      <c r="O38" s="10">
        <v>0</v>
      </c>
      <c r="P38" s="10">
        <v>0</v>
      </c>
      <c r="Q38" s="10">
        <v>7517701</v>
      </c>
      <c r="R38" s="10">
        <f>P38+Q38</f>
        <v>7517701</v>
      </c>
      <c r="S38" s="10">
        <v>10438721</v>
      </c>
      <c r="T38" s="10">
        <v>-2726358</v>
      </c>
      <c r="U38" s="10">
        <f>-7147006-1171809</f>
        <v>-8318815</v>
      </c>
      <c r="V38" s="10"/>
      <c r="W38" s="10">
        <f>T38+U38+V38</f>
        <v>-11045173</v>
      </c>
      <c r="X38" s="10">
        <v>56859667</v>
      </c>
      <c r="Y38" s="10">
        <f>N38+O38+R38+S38+W38+X38</f>
        <v>699542878</v>
      </c>
      <c r="Z38" s="11" t="str">
        <f>IF(M38=Y38,"GOOD","ERROR")</f>
        <v>GOOD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1"/>
      <c r="AO38" s="1"/>
    </row>
    <row r="39" spans="1:42" ht="16.95" customHeight="1" x14ac:dyDescent="0.25">
      <c r="A39" s="3" t="s">
        <v>4</v>
      </c>
      <c r="B39">
        <f>13688629+1363847687</f>
        <v>1377536316</v>
      </c>
      <c r="C39">
        <v>3250000</v>
      </c>
      <c r="D39" s="10">
        <f>B39-C39</f>
        <v>1374286316</v>
      </c>
      <c r="E39" s="10">
        <f>20575491+201335267+706182</f>
        <v>222616940</v>
      </c>
      <c r="F39" s="10">
        <v>270666768</v>
      </c>
      <c r="G39" s="10">
        <v>29218544</v>
      </c>
      <c r="H39" s="10">
        <v>4934354</v>
      </c>
      <c r="I39" s="10">
        <f>1938161+26382341</f>
        <v>28320502</v>
      </c>
      <c r="J39" s="10">
        <v>14862605</v>
      </c>
      <c r="K39" s="10">
        <v>313176</v>
      </c>
      <c r="L39" s="10">
        <f>SUM(G39:K39)</f>
        <v>77649181</v>
      </c>
      <c r="M39" s="10">
        <f>SUM(D39:F39)+L39</f>
        <v>1945219205</v>
      </c>
      <c r="N39" s="10">
        <v>1682932115</v>
      </c>
      <c r="O39" s="10">
        <v>0</v>
      </c>
      <c r="P39" s="10">
        <v>10614</v>
      </c>
      <c r="Q39" s="10">
        <f>1974+34769210</f>
        <v>34771184</v>
      </c>
      <c r="R39" s="10">
        <f>P39+Q39</f>
        <v>34781798</v>
      </c>
      <c r="S39" s="10">
        <v>9387509</v>
      </c>
      <c r="T39" s="10">
        <v>0</v>
      </c>
      <c r="U39" s="10">
        <f>-2020345-1984935</f>
        <v>-4005280</v>
      </c>
      <c r="V39" s="10"/>
      <c r="W39" s="10">
        <f>T39+U39+V39</f>
        <v>-4005280</v>
      </c>
      <c r="X39" s="10">
        <v>222123063</v>
      </c>
      <c r="Y39" s="10">
        <f>N39+O39+R39+S39+W39+X39</f>
        <v>1945219205</v>
      </c>
      <c r="Z39" s="11" t="str">
        <f>IF(M39=Y39,"GOOD","ERROR")</f>
        <v>GOOD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1"/>
      <c r="AO39" s="1"/>
    </row>
    <row r="40" spans="1:42" ht="16.95" customHeight="1" x14ac:dyDescent="0.25">
      <c r="A40" s="3" t="s">
        <v>5</v>
      </c>
      <c r="B40">
        <f>2286956+644284523</f>
        <v>646571479</v>
      </c>
      <c r="C40">
        <v>5461250</v>
      </c>
      <c r="D40" s="10">
        <f>B40-C40</f>
        <v>641110229</v>
      </c>
      <c r="E40" s="10">
        <f>6739648+164690344</f>
        <v>171429992</v>
      </c>
      <c r="F40" s="10">
        <v>54045539</v>
      </c>
      <c r="G40" s="10">
        <v>11120001</v>
      </c>
      <c r="H40" s="10">
        <v>2849577</v>
      </c>
      <c r="I40" s="10">
        <v>9866320</v>
      </c>
      <c r="J40" s="10">
        <v>7258790</v>
      </c>
      <c r="K40" s="10">
        <v>0</v>
      </c>
      <c r="L40" s="10">
        <f>SUM(G40:K40)</f>
        <v>31094688</v>
      </c>
      <c r="M40" s="10">
        <f>SUM(D40:F40)+L40</f>
        <v>897680448</v>
      </c>
      <c r="N40" s="10">
        <v>806904870</v>
      </c>
      <c r="O40" s="10">
        <v>10144907</v>
      </c>
      <c r="P40" s="10">
        <v>0</v>
      </c>
      <c r="Q40" s="10">
        <v>3929048</v>
      </c>
      <c r="R40" s="10">
        <f>P40+Q40</f>
        <v>3929048</v>
      </c>
      <c r="S40" s="10">
        <v>1710669</v>
      </c>
      <c r="T40" s="10">
        <v>4209609</v>
      </c>
      <c r="U40" s="10">
        <v>-91216</v>
      </c>
      <c r="V40" s="10"/>
      <c r="W40" s="10">
        <f>T40+U40+V40</f>
        <v>4118393</v>
      </c>
      <c r="X40" s="10">
        <v>70872561</v>
      </c>
      <c r="Y40" s="10">
        <f>N40+O40+R40+S40+W40+X40</f>
        <v>897680448</v>
      </c>
      <c r="Z40" s="11" t="str">
        <f>IF(M40=Y40,"GOOD","ERROR")</f>
        <v>GOOD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N40" s="1"/>
      <c r="AO40" s="1"/>
    </row>
    <row r="41" spans="1:42" ht="16.95" customHeight="1" x14ac:dyDescent="0.25">
      <c r="A41" s="3" t="s">
        <v>54</v>
      </c>
      <c r="B41">
        <v>21408128</v>
      </c>
      <c r="C41">
        <v>48819</v>
      </c>
      <c r="D41" s="10">
        <f>B41-C41</f>
        <v>21359309</v>
      </c>
      <c r="E41" s="10">
        <f>610031+4747768+750000</f>
        <v>6107799</v>
      </c>
      <c r="F41" s="10">
        <v>572064</v>
      </c>
      <c r="G41" s="10">
        <v>1453175</v>
      </c>
      <c r="H41" s="10">
        <v>189258</v>
      </c>
      <c r="I41" s="10">
        <v>132091</v>
      </c>
      <c r="J41" s="10">
        <v>238468</v>
      </c>
      <c r="K41" s="10">
        <v>0</v>
      </c>
      <c r="L41" s="10">
        <f>SUM(G41:K41)</f>
        <v>2012992</v>
      </c>
      <c r="M41" s="10">
        <f>SUM(D41:F41)+L41</f>
        <v>30052164</v>
      </c>
      <c r="N41" s="10">
        <v>26606403</v>
      </c>
      <c r="O41" s="10">
        <v>0</v>
      </c>
      <c r="P41" s="10">
        <v>53</v>
      </c>
      <c r="Q41" s="10">
        <v>76443</v>
      </c>
      <c r="R41" s="10">
        <f>P41+Q41</f>
        <v>76496</v>
      </c>
      <c r="S41" s="10">
        <v>380930</v>
      </c>
      <c r="T41" s="10">
        <v>750217</v>
      </c>
      <c r="U41" s="10"/>
      <c r="V41" s="10"/>
      <c r="W41" s="10">
        <f>T41+U41+V41</f>
        <v>750217</v>
      </c>
      <c r="X41" s="10">
        <v>2238118</v>
      </c>
      <c r="Y41" s="10">
        <f>N41+O41+R41+S41+W41+X41</f>
        <v>30052164</v>
      </c>
      <c r="Z41" s="11" t="str">
        <f>IF(M41=Y41,"GOOD","ERROR")</f>
        <v>GOOD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N41" s="1"/>
      <c r="AO41" s="1"/>
    </row>
    <row r="42" spans="1:42" ht="16.95" customHeight="1" x14ac:dyDescent="0.25">
      <c r="A42" s="3" t="s">
        <v>6</v>
      </c>
      <c r="B42">
        <f>846587+598314788</f>
        <v>599161375</v>
      </c>
      <c r="C42">
        <v>2616450</v>
      </c>
      <c r="D42" s="10">
        <f>B42-C42</f>
        <v>596544925</v>
      </c>
      <c r="E42" s="10">
        <f>5444468+48555267</f>
        <v>53999735</v>
      </c>
      <c r="F42" s="10">
        <v>191911499</v>
      </c>
      <c r="G42" s="10">
        <v>13260706</v>
      </c>
      <c r="H42" s="10">
        <v>4558414</v>
      </c>
      <c r="I42" s="10">
        <v>5583331</v>
      </c>
      <c r="J42" s="10">
        <v>7053393</v>
      </c>
      <c r="K42" s="10">
        <v>11000</v>
      </c>
      <c r="L42" s="10">
        <f>SUM(G42:K42)</f>
        <v>30466844</v>
      </c>
      <c r="M42" s="10">
        <f>SUM(D42:F42)+L42</f>
        <v>872923003</v>
      </c>
      <c r="N42" s="10">
        <v>793560369</v>
      </c>
      <c r="O42" s="10">
        <v>1709250</v>
      </c>
      <c r="P42" s="10">
        <v>5</v>
      </c>
      <c r="Q42" s="10">
        <v>6653347</v>
      </c>
      <c r="R42" s="10">
        <f>P42+Q42</f>
        <v>6653352</v>
      </c>
      <c r="S42" s="10">
        <v>4417109</v>
      </c>
      <c r="T42" s="10">
        <v>0</v>
      </c>
      <c r="U42" s="10">
        <v>-1172129</v>
      </c>
      <c r="V42" s="10"/>
      <c r="W42" s="10">
        <f>T42+U42+V42</f>
        <v>-1172129</v>
      </c>
      <c r="X42" s="10">
        <v>67755052</v>
      </c>
      <c r="Y42" s="10">
        <f>N42+O42+R42+S42+W42+X42</f>
        <v>872923003</v>
      </c>
      <c r="Z42" s="11" t="str">
        <f>IF(M42=Y42,"GOOD","ERROR")</f>
        <v>GOOD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N42" s="1"/>
      <c r="AO42" s="1"/>
    </row>
    <row r="43" spans="1:42" ht="16.95" customHeight="1" x14ac:dyDescent="0.25">
      <c r="B43"/>
      <c r="C4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N43" s="1"/>
      <c r="AO43" s="1"/>
    </row>
    <row r="44" spans="1:42" ht="16.95" customHeight="1" x14ac:dyDescent="0.25">
      <c r="A44" s="3" t="s">
        <v>53</v>
      </c>
      <c r="B44">
        <v>12152123</v>
      </c>
      <c r="C44">
        <v>31194</v>
      </c>
      <c r="D44" s="10">
        <f>B44-C44</f>
        <v>12120929</v>
      </c>
      <c r="E44" s="10">
        <f>334371+2894841</f>
        <v>3229212</v>
      </c>
      <c r="F44" s="10">
        <v>15900440</v>
      </c>
      <c r="G44" s="10">
        <v>663316</v>
      </c>
      <c r="H44" s="10">
        <v>69189</v>
      </c>
      <c r="I44" s="10">
        <v>167837</v>
      </c>
      <c r="J44" s="10">
        <v>257916</v>
      </c>
      <c r="K44" s="10">
        <v>0</v>
      </c>
      <c r="L44" s="10">
        <f>SUM(G44:K44)</f>
        <v>1158258</v>
      </c>
      <c r="M44" s="10">
        <f>SUM(D44:F44)+L44</f>
        <v>32408839</v>
      </c>
      <c r="N44" s="10">
        <v>29892232</v>
      </c>
      <c r="O44" s="10">
        <v>0</v>
      </c>
      <c r="P44" s="10">
        <v>0</v>
      </c>
      <c r="Q44" s="10">
        <v>51790</v>
      </c>
      <c r="R44" s="10">
        <f>P44+Q44</f>
        <v>51790</v>
      </c>
      <c r="S44" s="10">
        <v>285542</v>
      </c>
      <c r="T44" s="10">
        <v>0</v>
      </c>
      <c r="U44" s="10">
        <v>0</v>
      </c>
      <c r="V44" s="10">
        <v>0</v>
      </c>
      <c r="W44" s="10">
        <f>T44+U44+V44</f>
        <v>0</v>
      </c>
      <c r="X44" s="10">
        <v>2179275</v>
      </c>
      <c r="Y44" s="10">
        <f>N44+O44+R44+S44+W44+X44</f>
        <v>32408839</v>
      </c>
      <c r="Z44" s="11" t="str">
        <f>IF(M44=Y44,"GOOD","ERROR")</f>
        <v>GOOD</v>
      </c>
    </row>
    <row r="45" spans="1:42" ht="16.95" customHeight="1" x14ac:dyDescent="0.25">
      <c r="D45" s="10"/>
      <c r="E45" s="10"/>
      <c r="F45" s="10"/>
      <c r="L45" s="10"/>
      <c r="M45" s="10"/>
      <c r="N45" s="10"/>
      <c r="O45" s="10"/>
      <c r="R45" s="10"/>
      <c r="S45" s="10"/>
      <c r="W45" s="10"/>
      <c r="X45" s="10"/>
      <c r="Y45" s="10"/>
      <c r="Z45" s="10"/>
    </row>
    <row r="46" spans="1:42" ht="16.95" customHeight="1" x14ac:dyDescent="0.25">
      <c r="A46" s="3" t="s">
        <v>61</v>
      </c>
      <c r="D46" s="10">
        <f>SUM(D38:D45)</f>
        <v>3068709509</v>
      </c>
      <c r="E46" s="10">
        <f>SUM(E38:E45)</f>
        <v>586045439</v>
      </c>
      <c r="F46" s="10">
        <f>SUM(F38:F45)</f>
        <v>639730280</v>
      </c>
      <c r="L46" s="10">
        <f>SUM(L38:L45)</f>
        <v>183341309</v>
      </c>
      <c r="M46" s="10">
        <f>SUM(M38:M45)</f>
        <v>4477826537</v>
      </c>
      <c r="N46" s="10">
        <f>SUM(N38:N45)</f>
        <v>3975667951</v>
      </c>
      <c r="O46" s="10">
        <f>SUM(O38:O45)</f>
        <v>11854157</v>
      </c>
      <c r="R46" s="10">
        <f>SUM(R38:R45)</f>
        <v>53010185</v>
      </c>
      <c r="S46" s="10">
        <f>SUM(S38:S45)</f>
        <v>26620480</v>
      </c>
      <c r="W46" s="10">
        <f>SUM(W38:W45)</f>
        <v>-11353972</v>
      </c>
      <c r="X46" s="10">
        <f>SUM(X38:X45)</f>
        <v>422027736</v>
      </c>
      <c r="Y46" s="10">
        <f>SUM(Y38:Y45)</f>
        <v>4477826537</v>
      </c>
      <c r="Z46" s="11" t="str">
        <f>IF(M46=Y46,"GOOD","ERROR")</f>
        <v>GOOD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N46" s="1"/>
      <c r="AO46" s="1"/>
      <c r="AP46" s="1"/>
    </row>
    <row r="47" spans="1:42" ht="16.95" customHeight="1" x14ac:dyDescent="0.25">
      <c r="A47" s="3" t="s">
        <v>42</v>
      </c>
      <c r="D47" s="14">
        <f>D46/$M46</f>
        <v>0.68531227899148073</v>
      </c>
      <c r="E47" s="14">
        <f>E46/$M46</f>
        <v>0.13087720887746393</v>
      </c>
      <c r="F47" s="14">
        <f>F46/$M46</f>
        <v>0.14286624877358442</v>
      </c>
      <c r="L47" s="14">
        <f>L46/$M46</f>
        <v>4.0944263357470922E-2</v>
      </c>
      <c r="M47" s="14">
        <f>M46/$M46</f>
        <v>1</v>
      </c>
      <c r="N47" s="14">
        <f>N46/$M46</f>
        <v>0.88785662377702779</v>
      </c>
      <c r="O47" s="14">
        <f>O46/$M46</f>
        <v>2.6473015205144379E-3</v>
      </c>
      <c r="R47" s="14">
        <f>R46/$M46</f>
        <v>1.1838373943693479E-2</v>
      </c>
      <c r="S47" s="14">
        <f>S46/$M46</f>
        <v>5.9449556118435229E-3</v>
      </c>
      <c r="W47" s="14">
        <f>W46/$M46</f>
        <v>-2.53559889070799E-3</v>
      </c>
      <c r="X47" s="14">
        <f>X46/$M46</f>
        <v>9.4248344037628801E-2</v>
      </c>
      <c r="Y47" s="14">
        <f>Y46/$M46</f>
        <v>1</v>
      </c>
      <c r="Z47" s="14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N47" s="2"/>
      <c r="AO47" s="2"/>
    </row>
    <row r="48" spans="1:42" ht="16.95" customHeight="1" x14ac:dyDescent="0.25">
      <c r="M48" s="10" t="s">
        <v>45</v>
      </c>
      <c r="N48" s="15" t="s">
        <v>10</v>
      </c>
    </row>
    <row r="49" spans="1:41" ht="16.95" customHeight="1" x14ac:dyDescent="0.25">
      <c r="A49" s="3" t="s">
        <v>58</v>
      </c>
      <c r="D49" s="10">
        <v>2912665110</v>
      </c>
      <c r="E49" s="10">
        <v>521191487</v>
      </c>
      <c r="F49" s="10">
        <v>335211612</v>
      </c>
      <c r="L49" s="10">
        <v>168016617</v>
      </c>
      <c r="M49" s="10">
        <v>3937084826</v>
      </c>
      <c r="N49" s="10">
        <v>3481630083</v>
      </c>
      <c r="O49" s="10">
        <v>11854157</v>
      </c>
      <c r="R49" s="10">
        <v>50447955</v>
      </c>
      <c r="S49" s="10">
        <v>26620480</v>
      </c>
      <c r="W49" s="10">
        <v>-1307931</v>
      </c>
      <c r="X49" s="10">
        <v>367840082</v>
      </c>
      <c r="Y49" s="10">
        <v>3937084826</v>
      </c>
      <c r="Z49" s="11" t="str">
        <f>IF(M49=Y49,"GOOD","ERROR")</f>
        <v>GOOD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N49" s="1"/>
      <c r="AO49" s="1"/>
    </row>
    <row r="50" spans="1:41" ht="16.95" customHeight="1" x14ac:dyDescent="0.25"/>
    <row r="51" spans="1:41" ht="16.95" customHeight="1" x14ac:dyDescent="0.25">
      <c r="A51" s="3" t="s">
        <v>43</v>
      </c>
      <c r="D51" s="10">
        <f>D46-D49</f>
        <v>156044399</v>
      </c>
      <c r="E51" s="10">
        <f>E46-E49</f>
        <v>64853952</v>
      </c>
      <c r="F51" s="10">
        <f>F46-F49</f>
        <v>304518668</v>
      </c>
      <c r="L51" s="10">
        <f>L46-L49</f>
        <v>15324692</v>
      </c>
      <c r="M51" s="10">
        <f>M46-M49</f>
        <v>540741711</v>
      </c>
      <c r="N51" s="10">
        <f>N46-N49</f>
        <v>494037868</v>
      </c>
      <c r="O51" s="10">
        <f>O46-O49</f>
        <v>0</v>
      </c>
      <c r="R51" s="10">
        <f>R46-R49</f>
        <v>2562230</v>
      </c>
      <c r="S51" s="10">
        <f>S46-S49</f>
        <v>0</v>
      </c>
      <c r="W51" s="10">
        <f>W46-W49</f>
        <v>-10046041</v>
      </c>
      <c r="X51" s="10">
        <f>X46-X49</f>
        <v>54187654</v>
      </c>
      <c r="Y51" s="10">
        <f>Y46-Y49</f>
        <v>540741711</v>
      </c>
      <c r="Z51" s="11" t="str">
        <f>IF(M51=Y51,"GOOD","ERROR")</f>
        <v>GOOD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N51" s="1"/>
      <c r="AO51" s="1"/>
    </row>
    <row r="52" spans="1:41" ht="16.95" customHeight="1" x14ac:dyDescent="0.25">
      <c r="A52" s="3" t="s">
        <v>44</v>
      </c>
      <c r="D52" s="14">
        <f>D51/D49</f>
        <v>5.3574438909662361E-2</v>
      </c>
      <c r="E52" s="14">
        <f>E51/E49</f>
        <v>0.12443402015889028</v>
      </c>
      <c r="F52" s="14">
        <f>F51/F49</f>
        <v>0.90843710986957094</v>
      </c>
      <c r="L52" s="14">
        <f>L51/L49</f>
        <v>9.1209383176665201E-2</v>
      </c>
      <c r="M52" s="14">
        <f>M51/M49</f>
        <v>0.1373457100616709</v>
      </c>
      <c r="N52" s="14">
        <f>N51/N49</f>
        <v>0.14189843729012838</v>
      </c>
      <c r="O52" s="14">
        <f>O51/O49</f>
        <v>0</v>
      </c>
      <c r="R52" s="14">
        <f>R51/R49</f>
        <v>5.078957115308242E-2</v>
      </c>
      <c r="S52" s="14">
        <f>S51/S49</f>
        <v>0</v>
      </c>
      <c r="W52" s="14">
        <f>W51/W49</f>
        <v>7.6808646633499782</v>
      </c>
      <c r="X52" s="14">
        <f>X51/X49</f>
        <v>0.14731307612094324</v>
      </c>
      <c r="Y52" s="14">
        <f>Y51/Y49</f>
        <v>0.1373457100616709</v>
      </c>
      <c r="Z52" s="14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N52" s="2"/>
      <c r="AO52" s="2"/>
    </row>
    <row r="53" spans="1:41" ht="16.95" customHeight="1" x14ac:dyDescent="0.25"/>
    <row r="54" spans="1:41" ht="16.95" customHeight="1" x14ac:dyDescent="0.25">
      <c r="A54" s="3" t="s">
        <v>62</v>
      </c>
      <c r="D54" s="10">
        <f>D25+D46</f>
        <v>4504939326</v>
      </c>
      <c r="E54" s="10">
        <f>E25+E46</f>
        <v>842135704</v>
      </c>
      <c r="F54" s="10">
        <f>F25+F46</f>
        <v>865848075</v>
      </c>
      <c r="L54" s="10">
        <f>L25+L46</f>
        <v>263714600</v>
      </c>
      <c r="M54" s="10">
        <f>M25+M46</f>
        <v>6476637705</v>
      </c>
      <c r="N54" s="10">
        <f>N25+N46</f>
        <v>5778793521</v>
      </c>
      <c r="O54" s="10">
        <f>O25+O46</f>
        <v>18134637</v>
      </c>
      <c r="R54" s="10">
        <f>R25+R46</f>
        <v>68288163</v>
      </c>
      <c r="S54" s="10">
        <f>S25+S46</f>
        <v>48526345</v>
      </c>
      <c r="W54" s="10">
        <f>W25+W46</f>
        <v>7379534</v>
      </c>
      <c r="X54" s="10">
        <f>X25+X46</f>
        <v>555515505</v>
      </c>
      <c r="Y54" s="10">
        <f>Y25+Y46</f>
        <v>6476637705</v>
      </c>
      <c r="Z54" s="11" t="str">
        <f>IF(M54=Y54,"GOOD","ERROR")</f>
        <v>GOOD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N54" s="1"/>
      <c r="AO54" s="1"/>
    </row>
    <row r="55" spans="1:41" ht="16.95" customHeight="1" x14ac:dyDescent="0.25"/>
    <row r="56" spans="1:41" ht="16.95" customHeight="1" x14ac:dyDescent="0.25">
      <c r="A56" s="3" t="s">
        <v>59</v>
      </c>
      <c r="D56" s="10">
        <f>D28+D49</f>
        <v>4249454390</v>
      </c>
      <c r="E56" s="10">
        <f t="shared" ref="E56:F56" si="7">E28+E49</f>
        <v>745188452</v>
      </c>
      <c r="F56" s="10">
        <f t="shared" si="7"/>
        <v>506170108</v>
      </c>
      <c r="G56" s="10"/>
      <c r="H56" s="10"/>
      <c r="I56" s="10"/>
      <c r="J56" s="10"/>
      <c r="K56" s="10"/>
      <c r="L56" s="10">
        <f t="shared" ref="L56:O56" si="8">L28+L49</f>
        <v>242563227</v>
      </c>
      <c r="M56" s="10">
        <f t="shared" si="8"/>
        <v>5743376177</v>
      </c>
      <c r="N56" s="10">
        <f t="shared" si="8"/>
        <v>5107789441</v>
      </c>
      <c r="O56" s="10">
        <f t="shared" si="8"/>
        <v>17534637</v>
      </c>
      <c r="P56" s="10"/>
      <c r="Q56" s="10"/>
      <c r="R56" s="10">
        <f t="shared" ref="R56:S56" si="9">R28+R49</f>
        <v>64650818</v>
      </c>
      <c r="S56" s="10">
        <f t="shared" si="9"/>
        <v>48525644</v>
      </c>
      <c r="T56" s="10"/>
      <c r="U56" s="10"/>
      <c r="V56" s="10"/>
      <c r="W56" s="10">
        <f t="shared" ref="W56:Y56" si="10">W28+W49</f>
        <v>21577068</v>
      </c>
      <c r="X56" s="10">
        <f t="shared" si="10"/>
        <v>483298569</v>
      </c>
      <c r="Y56" s="10">
        <f t="shared" si="10"/>
        <v>5743376177</v>
      </c>
      <c r="Z56" s="11" t="str">
        <f>IF(M56=Y56,"GOOD","ERROR")</f>
        <v>GOOD</v>
      </c>
    </row>
    <row r="57" spans="1:41" ht="16.95" customHeight="1" x14ac:dyDescent="0.25"/>
    <row r="58" spans="1:41" ht="16.95" customHeight="1" x14ac:dyDescent="0.25">
      <c r="A58" s="3" t="s">
        <v>43</v>
      </c>
      <c r="D58" s="10">
        <f>D54-D56</f>
        <v>255484936</v>
      </c>
      <c r="E58" s="10">
        <f>E54-E56</f>
        <v>96947252</v>
      </c>
      <c r="F58" s="10">
        <f>F54-F56</f>
        <v>359677967</v>
      </c>
      <c r="L58" s="10">
        <f>L54-L56</f>
        <v>21151373</v>
      </c>
      <c r="M58" s="10">
        <f>M54-M56</f>
        <v>733261528</v>
      </c>
      <c r="N58" s="10">
        <f>N54-N56</f>
        <v>671004080</v>
      </c>
      <c r="O58" s="10">
        <f>O54-O56</f>
        <v>600000</v>
      </c>
      <c r="R58" s="10">
        <f>R54-R56</f>
        <v>3637345</v>
      </c>
      <c r="S58" s="10">
        <f>S54-S56</f>
        <v>701</v>
      </c>
      <c r="W58" s="10">
        <f>W54-W56</f>
        <v>-14197534</v>
      </c>
      <c r="X58" s="10">
        <f>X54-X56</f>
        <v>72216936</v>
      </c>
      <c r="Y58" s="10">
        <f>Y54-Y56</f>
        <v>733261528</v>
      </c>
      <c r="Z58" s="11" t="str">
        <f>IF(M58=Y58,"GOOD","ERROR")</f>
        <v>GOOD</v>
      </c>
      <c r="AD58" s="1"/>
      <c r="AG58" s="1"/>
      <c r="AH58" s="1"/>
      <c r="AK58" s="1"/>
      <c r="AN58" s="1"/>
      <c r="AO58" s="1"/>
    </row>
    <row r="59" spans="1:41" ht="16.95" customHeight="1" x14ac:dyDescent="0.25">
      <c r="A59" s="3" t="s">
        <v>44</v>
      </c>
      <c r="D59" s="14">
        <f>D58/D56</f>
        <v>6.0121820956878187E-2</v>
      </c>
      <c r="E59" s="14">
        <f>E58/E56</f>
        <v>0.13009763065947244</v>
      </c>
      <c r="F59" s="14">
        <f>F58/F56</f>
        <v>0.71058713526402073</v>
      </c>
      <c r="G59" s="14"/>
      <c r="H59" s="14"/>
      <c r="I59" s="14"/>
      <c r="J59" s="14"/>
      <c r="K59" s="14"/>
      <c r="L59" s="14">
        <f>L58/L56</f>
        <v>8.7199421204929795E-2</v>
      </c>
      <c r="M59" s="14">
        <f>M58/M56</f>
        <v>0.12767081685097154</v>
      </c>
      <c r="N59" s="14">
        <f>N58/N56</f>
        <v>0.13136878247444578</v>
      </c>
      <c r="O59" s="14">
        <f>O58/O56</f>
        <v>3.4217988088376165E-2</v>
      </c>
      <c r="P59" s="14"/>
      <c r="Q59" s="14"/>
      <c r="R59" s="14">
        <f>R58/R56</f>
        <v>5.6261391773882889E-2</v>
      </c>
      <c r="S59" s="14">
        <f>S58/S56</f>
        <v>1.4445970052453091E-5</v>
      </c>
      <c r="T59" s="14"/>
      <c r="U59" s="14"/>
      <c r="V59" s="14"/>
      <c r="W59" s="14">
        <f>W58/W56</f>
        <v>-0.65799180871098895</v>
      </c>
      <c r="X59" s="14">
        <f>X58/X56</f>
        <v>0.14942509792533651</v>
      </c>
      <c r="Y59" s="14">
        <f>Y58/Y56</f>
        <v>0.12767081685097154</v>
      </c>
      <c r="Z59" s="14"/>
      <c r="AD59" s="2"/>
      <c r="AG59" s="2"/>
      <c r="AH59" s="2"/>
      <c r="AK59" s="2"/>
      <c r="AN59" s="2"/>
      <c r="AO59" s="2"/>
    </row>
    <row r="61" spans="1:41" x14ac:dyDescent="0.25">
      <c r="A61" s="16"/>
    </row>
  </sheetData>
  <phoneticPr fontId="5" type="noConversion"/>
  <pageMargins left="0.5" right="0.5" top="0.5" bottom="0.5" header="0" footer="0"/>
  <pageSetup scale="55" fitToHeight="0" orientation="landscape" r:id="rId1"/>
  <headerFooter alignWithMargins="0"/>
  <rowBreaks count="1" manualBreakCount="1">
    <brk id="33" max="16383" man="1"/>
  </rowBreaks>
  <colBreaks count="1" manualBreakCount="1">
    <brk id="13" max="1048575" man="1"/>
  </colBreaks>
  <ignoredErrors>
    <ignoredError sqref="L9:L22 L38:L4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97105f5-e1dc-49f0-a421-45d5cba715f8">
      <Terms xmlns="http://schemas.microsoft.com/office/infopath/2007/PartnerControls"/>
    </lcf76f155ced4ddcb4097134ff3c332f>
    <TaxCatchAll xmlns="284f5044-7891-4dcb-a4ce-8cacddd3fa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E228DA99526E499F9C02B3F624F075" ma:contentTypeVersion="18" ma:contentTypeDescription="Create a new document." ma:contentTypeScope="" ma:versionID="81e595b8270599aea7bb767e1816ac1c">
  <xsd:schema xmlns:xsd="http://www.w3.org/2001/XMLSchema" xmlns:xs="http://www.w3.org/2001/XMLSchema" xmlns:p="http://schemas.microsoft.com/office/2006/metadata/properties" xmlns:ns1="http://schemas.microsoft.com/sharepoint/v3" xmlns:ns2="e97105f5-e1dc-49f0-a421-45d5cba715f8" xmlns:ns3="284f5044-7891-4dcb-a4ce-8cacddd3fa5f" targetNamespace="http://schemas.microsoft.com/office/2006/metadata/properties" ma:root="true" ma:fieldsID="82f4a091ce3384e0c33bb02651a3db7e" ns1:_="" ns2:_="" ns3:_="">
    <xsd:import namespace="http://schemas.microsoft.com/sharepoint/v3"/>
    <xsd:import namespace="e97105f5-e1dc-49f0-a421-45d5cba715f8"/>
    <xsd:import namespace="284f5044-7891-4dcb-a4ce-8cacddd3fa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105f5-e1dc-49f0-a421-45d5cba71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f5044-7891-4dcb-a4ce-8cacddd3f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2698951-1050-4f8c-b07e-f5d4e6d237e4}" ma:internalName="TaxCatchAll" ma:showField="CatchAllData" ma:web="284f5044-7891-4dcb-a4ce-8cacddd3fa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6EAFA-48C0-4965-B626-6EDB64DF4335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84f5044-7891-4dcb-a4ce-8cacddd3fa5f"/>
    <ds:schemaRef ds:uri="http://purl.org/dc/elements/1.1/"/>
    <ds:schemaRef ds:uri="http://purl.org/dc/dcmitype/"/>
    <ds:schemaRef ds:uri="e97105f5-e1dc-49f0-a421-45d5cba715f8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4421AA-812F-4BF9-9B16-13E6E61721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DC9132-7895-46C0-A3CE-251126D48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7105f5-e1dc-49f0-a421-45d5cba715f8"/>
    <ds:schemaRef ds:uri="284f5044-7891-4dcb-a4ce-8cacddd3f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Printed Page</vt:lpstr>
      <vt:lpstr>'Printed Page'!Print_Area</vt:lpstr>
      <vt:lpstr>'Printed Page'!Print_Area_MI</vt:lpstr>
      <vt:lpstr>'Printed Page'!Print_Titles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Pike</dc:creator>
  <cp:lastModifiedBy>Brackin, Stephanie</cp:lastModifiedBy>
  <cp:lastPrinted>2022-06-16T19:45:57Z</cp:lastPrinted>
  <dcterms:created xsi:type="dcterms:W3CDTF">2000-02-29T19:22:35Z</dcterms:created>
  <dcterms:modified xsi:type="dcterms:W3CDTF">2022-06-29T17:27:46Z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0x010100F4E228DA99526E499F9C02B3F624F075</vt:lpwstr>
  </property>
  <property fmtid="{D5CDD505-2E9C-101B-9397-08002B2CF9AE}" pid="3" name="MediaServiceImageTags">
    <vt:lpwstr/>
  </property>
</Properties>
</file>