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987A4091-382C-477F-854B-E2783DAE7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" sheetId="1" r:id="rId1"/>
    <sheet name="Printed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H22" i="2"/>
  <c r="I22" i="2"/>
  <c r="G24" i="2"/>
  <c r="G22" i="2"/>
  <c r="F22" i="2"/>
  <c r="E24" i="2"/>
  <c r="E22" i="2"/>
  <c r="B16" i="1"/>
  <c r="R16" i="1" s="1"/>
  <c r="J16" i="1"/>
  <c r="F16" i="1"/>
  <c r="D16" i="1"/>
  <c r="J14" i="1"/>
  <c r="F14" i="1"/>
  <c r="D14" i="1"/>
  <c r="B14" i="1"/>
  <c r="F15" i="1"/>
  <c r="J15" i="1"/>
  <c r="D15" i="1"/>
  <c r="B15" i="1"/>
  <c r="J5" i="1"/>
  <c r="F5" i="1"/>
  <c r="D5" i="1"/>
  <c r="B5" i="1"/>
  <c r="R5" i="1" s="1"/>
  <c r="J6" i="1"/>
  <c r="F6" i="1"/>
  <c r="D6" i="1"/>
  <c r="B6" i="1"/>
  <c r="J13" i="1"/>
  <c r="F13" i="1"/>
  <c r="D13" i="1"/>
  <c r="B13" i="1"/>
  <c r="S13" i="1" s="1"/>
  <c r="J8" i="1"/>
  <c r="E23" i="2" s="1"/>
  <c r="P8" i="1"/>
  <c r="E35" i="2" s="1"/>
  <c r="O18" i="1"/>
  <c r="G31" i="2" s="1"/>
  <c r="C8" i="1"/>
  <c r="E9" i="2" s="1"/>
  <c r="E8" i="1"/>
  <c r="E12" i="2" s="1"/>
  <c r="G8" i="1"/>
  <c r="E19" i="2" s="1"/>
  <c r="H8" i="1"/>
  <c r="E20" i="2" s="1"/>
  <c r="I8" i="1"/>
  <c r="E21" i="2" s="1"/>
  <c r="K8" i="1"/>
  <c r="L8" i="1"/>
  <c r="M8" i="1"/>
  <c r="N8" i="1"/>
  <c r="E30" i="2" s="1"/>
  <c r="O8" i="1"/>
  <c r="E31" i="2" s="1"/>
  <c r="C18" i="1"/>
  <c r="G9" i="2" s="1"/>
  <c r="E18" i="1"/>
  <c r="G12" i="2" s="1"/>
  <c r="G18" i="1"/>
  <c r="G19" i="2" s="1"/>
  <c r="H18" i="1"/>
  <c r="G20" i="2" s="1"/>
  <c r="I18" i="1"/>
  <c r="G21" i="2" s="1"/>
  <c r="K18" i="1"/>
  <c r="L18" i="1"/>
  <c r="M18" i="1"/>
  <c r="N18" i="1"/>
  <c r="G30" i="2" s="1"/>
  <c r="P18" i="1"/>
  <c r="G35" i="2" s="1"/>
  <c r="D8" i="1" l="1"/>
  <c r="E11" i="2" s="1"/>
  <c r="R14" i="1"/>
  <c r="R6" i="1"/>
  <c r="R13" i="1"/>
  <c r="F8" i="1"/>
  <c r="E14" i="2" s="1"/>
  <c r="R15" i="1"/>
  <c r="F18" i="1"/>
  <c r="G14" i="2" s="1"/>
  <c r="S15" i="1"/>
  <c r="S16" i="1"/>
  <c r="D18" i="1"/>
  <c r="G11" i="2" s="1"/>
  <c r="J18" i="1"/>
  <c r="G23" i="2" s="1"/>
  <c r="I23" i="2" s="1"/>
  <c r="I21" i="2"/>
  <c r="B18" i="1"/>
  <c r="G8" i="2" s="1"/>
  <c r="S14" i="1"/>
  <c r="I31" i="2"/>
  <c r="E26" i="2"/>
  <c r="S6" i="1"/>
  <c r="S5" i="1"/>
  <c r="B8" i="1"/>
  <c r="E8" i="2" s="1"/>
  <c r="I35" i="2"/>
  <c r="I12" i="2"/>
  <c r="I30" i="2"/>
  <c r="I20" i="2"/>
  <c r="I9" i="2"/>
  <c r="I19" i="2"/>
  <c r="I11" i="2" l="1"/>
  <c r="I14" i="2"/>
  <c r="I24" i="2"/>
  <c r="S18" i="1"/>
  <c r="G16" i="2"/>
  <c r="R18" i="1"/>
  <c r="G26" i="2"/>
  <c r="I8" i="2"/>
  <c r="S8" i="1"/>
  <c r="R8" i="1"/>
  <c r="E16" i="2"/>
  <c r="E28" i="2" s="1"/>
  <c r="I26" i="2" l="1"/>
  <c r="G28" i="2"/>
  <c r="G33" i="2" s="1"/>
  <c r="I16" i="2"/>
  <c r="E33" i="2"/>
  <c r="I28" i="2" l="1"/>
  <c r="I33" i="2" s="1"/>
  <c r="G37" i="2"/>
  <c r="H33" i="2" s="1"/>
  <c r="E37" i="2"/>
  <c r="H20" i="2" l="1"/>
  <c r="H9" i="2"/>
  <c r="H37" i="2"/>
  <c r="H31" i="2"/>
  <c r="H14" i="2"/>
  <c r="H12" i="2"/>
  <c r="H21" i="2"/>
  <c r="H8" i="2"/>
  <c r="H23" i="2"/>
  <c r="H11" i="2"/>
  <c r="H19" i="2"/>
  <c r="H35" i="2"/>
  <c r="H30" i="2"/>
  <c r="H24" i="2"/>
  <c r="H26" i="2"/>
  <c r="H16" i="2"/>
  <c r="H28" i="2"/>
  <c r="F23" i="2"/>
  <c r="F21" i="2"/>
  <c r="F30" i="2"/>
  <c r="F35" i="2"/>
  <c r="F37" i="2"/>
  <c r="F31" i="2"/>
  <c r="F8" i="2"/>
  <c r="F20" i="2"/>
  <c r="F24" i="2"/>
  <c r="F19" i="2"/>
  <c r="F12" i="2"/>
  <c r="F14" i="2"/>
  <c r="F9" i="2"/>
  <c r="F11" i="2"/>
  <c r="F26" i="2"/>
  <c r="F16" i="2"/>
  <c r="F28" i="2"/>
  <c r="F33" i="2"/>
  <c r="I37" i="2"/>
  <c r="J33" i="2" s="1"/>
  <c r="J37" i="2" l="1"/>
  <c r="J21" i="2"/>
  <c r="J8" i="2"/>
  <c r="J35" i="2"/>
  <c r="J30" i="2"/>
  <c r="J31" i="2"/>
  <c r="J14" i="2"/>
  <c r="J12" i="2"/>
  <c r="J23" i="2"/>
  <c r="J19" i="2"/>
  <c r="J11" i="2"/>
  <c r="J9" i="2"/>
  <c r="J24" i="2"/>
  <c r="J20" i="2"/>
  <c r="J26" i="2"/>
  <c r="J16" i="2"/>
  <c r="J28" i="2"/>
</calcChain>
</file>

<file path=xl/sharedStrings.xml><?xml version="1.0" encoding="utf-8"?>
<sst xmlns="http://schemas.openxmlformats.org/spreadsheetml/2006/main" count="68" uniqueCount="58">
  <si>
    <t>RC-C Lines</t>
  </si>
  <si>
    <t>Construction &amp; Land Development</t>
  </si>
  <si>
    <t>Farmland</t>
  </si>
  <si>
    <t>1-4 Family Residential</t>
  </si>
  <si>
    <t>Multifamily Residential</t>
  </si>
  <si>
    <t>NonFarm NonResidential</t>
  </si>
  <si>
    <t>Depository Institutions</t>
  </si>
  <si>
    <t>Finance Agricultural Production</t>
  </si>
  <si>
    <t>Commercial &amp; Industrial</t>
  </si>
  <si>
    <t>Loans to Individuals</t>
  </si>
  <si>
    <t>Municipal Loans</t>
  </si>
  <si>
    <t>All Other Loans</t>
  </si>
  <si>
    <t>Lease Finance Receivables</t>
  </si>
  <si>
    <t>Unearned Income (enter as neg #)</t>
  </si>
  <si>
    <t>RC-3 (FFS)</t>
  </si>
  <si>
    <t>Check Totals to Printed Page</t>
  </si>
  <si>
    <t>Savings Banks</t>
  </si>
  <si>
    <t>Northfield Savings Bank</t>
  </si>
  <si>
    <t>Passumpsic Savings Bank</t>
  </si>
  <si>
    <t>Wells River Savings Bank</t>
  </si>
  <si>
    <t>Savings Banks Totals</t>
  </si>
  <si>
    <t>Commercial Banks</t>
  </si>
  <si>
    <t>People's Trust Co.</t>
  </si>
  <si>
    <t>Union Bank</t>
  </si>
  <si>
    <t>Commercial Banks Totals</t>
  </si>
  <si>
    <t>% of</t>
  </si>
  <si>
    <t>Total</t>
  </si>
  <si>
    <t>Loans</t>
  </si>
  <si>
    <t>Real Estate Loans</t>
  </si>
  <si>
    <t>Construction and Land Development</t>
  </si>
  <si>
    <t>Secured by Farm Land</t>
  </si>
  <si>
    <t>Secured by Residential Properties</t>
  </si>
  <si>
    <t>1-4 Family Residences</t>
  </si>
  <si>
    <t>5 or more Family Residences</t>
  </si>
  <si>
    <t>Secured by Non-Farm/Non-Residential</t>
  </si>
  <si>
    <t>Properties</t>
  </si>
  <si>
    <t>Total Real Estate Loans</t>
  </si>
  <si>
    <t>Other Loans</t>
  </si>
  <si>
    <t>Loans to Financial Institutions</t>
  </si>
  <si>
    <t>Loans to Finance Agricultural Production</t>
  </si>
  <si>
    <t>Commercial and Industrial Loans</t>
  </si>
  <si>
    <t>Total Other Loans</t>
  </si>
  <si>
    <t>Less:</t>
  </si>
  <si>
    <t>Unearned Income</t>
  </si>
  <si>
    <t>Sub-Total</t>
  </si>
  <si>
    <t>Federal Funds Sold</t>
  </si>
  <si>
    <t>Total Loans</t>
  </si>
  <si>
    <t>Mutual</t>
  </si>
  <si>
    <t>Investor</t>
  </si>
  <si>
    <t>Fin Insts</t>
  </si>
  <si>
    <t>VT Fin Insts</t>
  </si>
  <si>
    <t>Total Gross Loans</t>
  </si>
  <si>
    <t>Allowance for Loan &amp; Lease Losses</t>
  </si>
  <si>
    <t>RC-4c (ALLL) (enter as neg #)</t>
  </si>
  <si>
    <t>Brattleboro S&amp;L</t>
  </si>
  <si>
    <t>LOAN DISTRIBUTION OF VERMONT FINANCIAL INSTITUTIONS FOR YEAR ENDED DECEMBER 31, 2021 (000 Omitted)</t>
  </si>
  <si>
    <t>Check Totals to RC-C</t>
  </si>
  <si>
    <t>Loans to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</si>
</sst>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double"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37" fontId="1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5" fontId="2" fillId="0" borderId="0" xfId="0" applyNumberFormat="1" applyFont="1" applyProtection="1"/>
    <xf numFmtId="10" fontId="2" fillId="0" borderId="0" xfId="0" applyNumberFormat="1" applyFont="1" applyProtection="1"/>
    <xf numFmtId="37" fontId="2" fillId="0" borderId="0" xfId="0" applyNumberFormat="1" applyFont="1" applyProtection="1"/>
    <xf numFmtId="37" fontId="4" fillId="0" borderId="0" xfId="0" applyNumberFormat="1" applyFont="1" applyProtection="1"/>
    <xf numFmtId="10" fontId="4" fillId="0" borderId="0" xfId="0" applyNumberFormat="1" applyFont="1" applyProtection="1"/>
    <xf numFmtId="5" fontId="5" fillId="0" borderId="0" xfId="0" applyNumberFormat="1" applyFont="1" applyProtection="1"/>
    <xf numFmtId="10" fontId="5" fillId="0" borderId="0" xfId="0" applyNumberFormat="1" applyFont="1" applyProtection="1"/>
    <xf numFmtId="5" fontId="4" fillId="0" borderId="0" xfId="0" applyNumberFormat="1" applyFont="1" applyProtection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S18"/>
  <sheetViews>
    <sheetView showGridLines="0" tabSelected="1" defaultGridColor="0" colorId="2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81640625" defaultRowHeight="13.2" x14ac:dyDescent="0.25"/>
  <cols>
    <col min="1" max="1" width="20.81640625" style="1" customWidth="1"/>
    <col min="2" max="18" width="10.81640625" style="1" customWidth="1"/>
    <col min="19" max="16384" width="9.81640625" style="1"/>
  </cols>
  <sheetData>
    <row r="1" spans="1:19" ht="39.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53</v>
      </c>
      <c r="P1" s="2" t="s">
        <v>14</v>
      </c>
      <c r="Q1" s="2"/>
      <c r="R1" s="2" t="s">
        <v>56</v>
      </c>
      <c r="S1" s="2" t="s">
        <v>15</v>
      </c>
    </row>
    <row r="2" spans="1:19" x14ac:dyDescent="0.25">
      <c r="R2" s="3"/>
    </row>
    <row r="3" spans="1:19" x14ac:dyDescent="0.25">
      <c r="A3" s="1" t="s">
        <v>16</v>
      </c>
    </row>
    <row r="5" spans="1:19" x14ac:dyDescent="0.25">
      <c r="A5" s="1" t="s">
        <v>54</v>
      </c>
      <c r="B5" s="4">
        <f>324+1939</f>
        <v>2263</v>
      </c>
      <c r="C5" s="4">
        <v>184</v>
      </c>
      <c r="D5" s="4">
        <f>8535+104535+736</f>
        <v>113806</v>
      </c>
      <c r="E5" s="4">
        <v>3627</v>
      </c>
      <c r="F5" s="4">
        <f>28173+34048</f>
        <v>62221</v>
      </c>
      <c r="G5" s="4">
        <v>0</v>
      </c>
      <c r="H5" s="4">
        <v>0</v>
      </c>
      <c r="I5" s="4">
        <v>6606</v>
      </c>
      <c r="J5" s="4">
        <f>141+25+1291</f>
        <v>1457</v>
      </c>
      <c r="K5" s="4">
        <v>560</v>
      </c>
      <c r="L5" s="4">
        <v>0</v>
      </c>
      <c r="M5" s="4">
        <v>0</v>
      </c>
      <c r="N5" s="4">
        <v>0</v>
      </c>
      <c r="O5" s="4">
        <v>-2311</v>
      </c>
      <c r="P5" s="4">
        <v>0</v>
      </c>
      <c r="R5" s="4">
        <f>SUM(B5:N5)</f>
        <v>190724</v>
      </c>
      <c r="S5" s="4">
        <f>SUM(B5:P5)</f>
        <v>188413</v>
      </c>
    </row>
    <row r="6" spans="1:19" x14ac:dyDescent="0.25">
      <c r="A6" s="1" t="s">
        <v>19</v>
      </c>
      <c r="B6" s="4">
        <f>1459+357</f>
        <v>1816</v>
      </c>
      <c r="C6" s="4">
        <v>375</v>
      </c>
      <c r="D6" s="4">
        <f>7126+71022+1341</f>
        <v>79489</v>
      </c>
      <c r="E6" s="4">
        <v>3929</v>
      </c>
      <c r="F6" s="4">
        <f>3808+8595</f>
        <v>12403</v>
      </c>
      <c r="G6" s="4">
        <v>0</v>
      </c>
      <c r="H6" s="4">
        <v>417</v>
      </c>
      <c r="I6" s="4">
        <v>9838</v>
      </c>
      <c r="J6" s="4">
        <f>85+9364+2062</f>
        <v>11511</v>
      </c>
      <c r="K6" s="4">
        <v>170</v>
      </c>
      <c r="L6" s="4">
        <v>16</v>
      </c>
      <c r="M6" s="4">
        <v>0</v>
      </c>
      <c r="N6" s="4">
        <v>-29</v>
      </c>
      <c r="O6" s="4">
        <v>-1357</v>
      </c>
      <c r="P6" s="4">
        <v>0</v>
      </c>
      <c r="Q6" s="4"/>
      <c r="R6" s="4">
        <f>SUM(B6:N6)</f>
        <v>119935</v>
      </c>
      <c r="S6" s="4">
        <f>SUM(B6:P6)</f>
        <v>118578</v>
      </c>
    </row>
    <row r="7" spans="1:19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1" t="s">
        <v>20</v>
      </c>
      <c r="B8" s="4">
        <f>SUM(B5:B6)</f>
        <v>4079</v>
      </c>
      <c r="C8" s="4">
        <f t="shared" ref="C8:S8" si="0">SUM(C5:C6)</f>
        <v>559</v>
      </c>
      <c r="D8" s="4">
        <f t="shared" si="0"/>
        <v>193295</v>
      </c>
      <c r="E8" s="4">
        <f t="shared" si="0"/>
        <v>7556</v>
      </c>
      <c r="F8" s="4">
        <f t="shared" si="0"/>
        <v>74624</v>
      </c>
      <c r="G8" s="4">
        <f t="shared" si="0"/>
        <v>0</v>
      </c>
      <c r="H8" s="4">
        <f t="shared" si="0"/>
        <v>417</v>
      </c>
      <c r="I8" s="4">
        <f t="shared" si="0"/>
        <v>16444</v>
      </c>
      <c r="J8" s="4">
        <f t="shared" si="0"/>
        <v>12968</v>
      </c>
      <c r="K8" s="4">
        <f t="shared" si="0"/>
        <v>730</v>
      </c>
      <c r="L8" s="4">
        <f t="shared" si="0"/>
        <v>16</v>
      </c>
      <c r="M8" s="4">
        <f t="shared" si="0"/>
        <v>0</v>
      </c>
      <c r="N8" s="4">
        <f t="shared" si="0"/>
        <v>-29</v>
      </c>
      <c r="O8" s="4">
        <f t="shared" si="0"/>
        <v>-3668</v>
      </c>
      <c r="P8" s="4">
        <f t="shared" si="0"/>
        <v>0</v>
      </c>
      <c r="Q8" s="4"/>
      <c r="R8" s="4">
        <f t="shared" si="0"/>
        <v>310659</v>
      </c>
      <c r="S8" s="4">
        <f t="shared" si="0"/>
        <v>306991</v>
      </c>
    </row>
    <row r="9" spans="1:19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1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1" t="s">
        <v>17</v>
      </c>
      <c r="B13" s="4">
        <f>6976+14023</f>
        <v>20999</v>
      </c>
      <c r="C13" s="4">
        <v>467</v>
      </c>
      <c r="D13" s="4">
        <f>29998+512614+9700</f>
        <v>552312</v>
      </c>
      <c r="E13" s="4">
        <v>58243</v>
      </c>
      <c r="F13" s="4">
        <f>61574+134749</f>
        <v>196323</v>
      </c>
      <c r="G13" s="4">
        <v>0</v>
      </c>
      <c r="H13" s="4">
        <v>0</v>
      </c>
      <c r="I13" s="4">
        <v>81373</v>
      </c>
      <c r="J13" s="4">
        <f>297+1072</f>
        <v>1369</v>
      </c>
      <c r="K13" s="4">
        <v>7497</v>
      </c>
      <c r="L13" s="4">
        <v>222</v>
      </c>
      <c r="M13" s="4">
        <v>0</v>
      </c>
      <c r="N13" s="4">
        <v>0</v>
      </c>
      <c r="O13" s="4">
        <v>-10619</v>
      </c>
      <c r="P13" s="4">
        <v>0</v>
      </c>
      <c r="Q13" s="4"/>
      <c r="R13" s="4">
        <f>SUM(B13:N13)</f>
        <v>918805</v>
      </c>
      <c r="S13" s="4">
        <f>SUM(B13:P13)</f>
        <v>908186</v>
      </c>
    </row>
    <row r="14" spans="1:19" x14ac:dyDescent="0.25">
      <c r="A14" s="1" t="s">
        <v>18</v>
      </c>
      <c r="B14" s="4">
        <f>1160+3490</f>
        <v>4650</v>
      </c>
      <c r="C14" s="4">
        <v>733</v>
      </c>
      <c r="D14" s="4">
        <f>15760+386328+3586</f>
        <v>405674</v>
      </c>
      <c r="E14" s="4">
        <v>2238</v>
      </c>
      <c r="F14" s="4">
        <f>64421+29633</f>
        <v>94054</v>
      </c>
      <c r="G14" s="4">
        <v>0</v>
      </c>
      <c r="H14" s="4">
        <v>227</v>
      </c>
      <c r="I14" s="4">
        <v>29096</v>
      </c>
      <c r="J14" s="4">
        <f>26971+3088</f>
        <v>30059</v>
      </c>
      <c r="K14" s="4">
        <v>25150</v>
      </c>
      <c r="L14" s="4">
        <v>15</v>
      </c>
      <c r="M14" s="4">
        <v>0</v>
      </c>
      <c r="N14" s="4">
        <v>0</v>
      </c>
      <c r="O14" s="4">
        <v>-8152</v>
      </c>
      <c r="P14" s="4">
        <v>0</v>
      </c>
      <c r="Q14" s="4"/>
      <c r="R14" s="4">
        <f>SUM(B14:N14)</f>
        <v>591896</v>
      </c>
      <c r="S14" s="4">
        <f>SUM(B14:P14)</f>
        <v>583744</v>
      </c>
    </row>
    <row r="15" spans="1:19" x14ac:dyDescent="0.25">
      <c r="A15" s="1" t="s">
        <v>22</v>
      </c>
      <c r="B15" s="4">
        <f>3173+4960</f>
        <v>8133</v>
      </c>
      <c r="C15" s="4">
        <v>17907</v>
      </c>
      <c r="D15" s="4">
        <f>6961+54727+4159</f>
        <v>65847</v>
      </c>
      <c r="E15" s="4">
        <v>5972</v>
      </c>
      <c r="F15" s="4">
        <f>36685+17527</f>
        <v>54212</v>
      </c>
      <c r="G15" s="4">
        <v>0</v>
      </c>
      <c r="H15" s="4">
        <v>1282</v>
      </c>
      <c r="I15" s="4">
        <v>11915</v>
      </c>
      <c r="J15" s="4">
        <f>4934+2135</f>
        <v>7069</v>
      </c>
      <c r="K15" s="4">
        <v>11067</v>
      </c>
      <c r="L15" s="4">
        <v>128</v>
      </c>
      <c r="M15" s="4">
        <v>0</v>
      </c>
      <c r="N15" s="4">
        <v>-1493</v>
      </c>
      <c r="O15" s="4">
        <v>-2964</v>
      </c>
      <c r="P15" s="4">
        <v>0</v>
      </c>
      <c r="Q15" s="4"/>
      <c r="R15" s="4">
        <f>SUM(B15:N15)</f>
        <v>182039</v>
      </c>
      <c r="S15" s="4">
        <f>SUM(B15:P15)</f>
        <v>179075</v>
      </c>
    </row>
    <row r="16" spans="1:19" x14ac:dyDescent="0.25">
      <c r="A16" s="1" t="s">
        <v>23</v>
      </c>
      <c r="B16" s="4">
        <f>33169+32116</f>
        <v>65285</v>
      </c>
      <c r="C16" s="4">
        <v>1109</v>
      </c>
      <c r="D16" s="4">
        <f>12382+247606+1633</f>
        <v>261621</v>
      </c>
      <c r="E16" s="4">
        <v>89998</v>
      </c>
      <c r="F16" s="4">
        <f>93802+154558</f>
        <v>248360</v>
      </c>
      <c r="G16" s="4">
        <v>0</v>
      </c>
      <c r="H16" s="4">
        <v>498</v>
      </c>
      <c r="I16" s="4">
        <v>49528</v>
      </c>
      <c r="J16" s="4">
        <f>9+29+124+2149</f>
        <v>2311</v>
      </c>
      <c r="K16" s="4">
        <v>83927</v>
      </c>
      <c r="L16" s="4">
        <v>67</v>
      </c>
      <c r="M16" s="4">
        <v>0</v>
      </c>
      <c r="N16" s="4">
        <v>-1121</v>
      </c>
      <c r="O16" s="4">
        <v>-8336</v>
      </c>
      <c r="P16" s="4">
        <v>159</v>
      </c>
      <c r="Q16" s="4"/>
      <c r="R16" s="4">
        <f>SUM(B16:N16)</f>
        <v>801583</v>
      </c>
      <c r="S16" s="4">
        <f>SUM(B16:P16)</f>
        <v>793406</v>
      </c>
    </row>
    <row r="17" spans="1:19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1" t="s">
        <v>24</v>
      </c>
      <c r="B18" s="4">
        <f t="shared" ref="B18:P18" si="1">SUM(B13:B16)</f>
        <v>99067</v>
      </c>
      <c r="C18" s="4">
        <f t="shared" si="1"/>
        <v>20216</v>
      </c>
      <c r="D18" s="4">
        <f t="shared" si="1"/>
        <v>1285454</v>
      </c>
      <c r="E18" s="4">
        <f t="shared" si="1"/>
        <v>156451</v>
      </c>
      <c r="F18" s="4">
        <f t="shared" si="1"/>
        <v>592949</v>
      </c>
      <c r="G18" s="4">
        <f t="shared" si="1"/>
        <v>0</v>
      </c>
      <c r="H18" s="4">
        <f t="shared" si="1"/>
        <v>2007</v>
      </c>
      <c r="I18" s="4">
        <f t="shared" si="1"/>
        <v>171912</v>
      </c>
      <c r="J18" s="4">
        <f t="shared" si="1"/>
        <v>40808</v>
      </c>
      <c r="K18" s="4">
        <f t="shared" si="1"/>
        <v>127641</v>
      </c>
      <c r="L18" s="4">
        <f t="shared" si="1"/>
        <v>432</v>
      </c>
      <c r="M18" s="4">
        <f t="shared" si="1"/>
        <v>0</v>
      </c>
      <c r="N18" s="4">
        <f t="shared" si="1"/>
        <v>-2614</v>
      </c>
      <c r="O18" s="4">
        <f t="shared" si="1"/>
        <v>-30071</v>
      </c>
      <c r="P18" s="4">
        <f t="shared" si="1"/>
        <v>159</v>
      </c>
      <c r="Q18" s="4"/>
      <c r="R18" s="4">
        <f>SUM(R13:R16)</f>
        <v>2494323</v>
      </c>
      <c r="S18" s="4">
        <f>SUM(S13:S16)</f>
        <v>2464411</v>
      </c>
    </row>
  </sheetData>
  <phoneticPr fontId="0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K39"/>
  <sheetViews>
    <sheetView showGridLines="0" defaultGridColor="0" colorId="22" workbookViewId="0"/>
  </sheetViews>
  <sheetFormatPr defaultColWidth="9.81640625" defaultRowHeight="15" x14ac:dyDescent="0.25"/>
  <cols>
    <col min="1" max="3" width="5.81640625" style="8" customWidth="1"/>
    <col min="4" max="4" width="24.81640625" style="8" customWidth="1"/>
    <col min="5" max="6" width="9.81640625" style="8"/>
    <col min="7" max="7" width="10.6328125" style="8" customWidth="1"/>
    <col min="8" max="8" width="9.81640625" style="8"/>
    <col min="9" max="9" width="10.6328125" style="8" customWidth="1"/>
    <col min="10" max="11" width="9.81640625" style="8"/>
  </cols>
  <sheetData>
    <row r="1" spans="1:10" ht="15.6" x14ac:dyDescent="0.3">
      <c r="A1" s="6" t="s">
        <v>55</v>
      </c>
      <c r="B1" s="7"/>
      <c r="C1" s="7"/>
      <c r="D1" s="7"/>
      <c r="E1" s="7"/>
      <c r="F1" s="7"/>
      <c r="G1" s="7"/>
      <c r="H1" s="7"/>
      <c r="I1" s="7"/>
      <c r="J1" s="7"/>
    </row>
    <row r="2" spans="1:10" ht="12.9" customHeight="1" x14ac:dyDescent="0.25">
      <c r="A2" s="5"/>
      <c r="B2" s="5"/>
      <c r="C2" s="5"/>
      <c r="D2" s="5"/>
      <c r="E2" s="9"/>
      <c r="F2" s="9"/>
      <c r="G2" s="9"/>
      <c r="H2" s="9"/>
      <c r="I2" s="9"/>
      <c r="J2" s="9"/>
    </row>
    <row r="3" spans="1:10" ht="14.1" customHeight="1" x14ac:dyDescent="0.25">
      <c r="A3" s="5"/>
      <c r="B3" s="5"/>
      <c r="C3" s="5"/>
      <c r="D3" s="5"/>
      <c r="E3" s="9">
        <v>2</v>
      </c>
      <c r="F3" s="9" t="s">
        <v>25</v>
      </c>
      <c r="G3" s="9">
        <v>4</v>
      </c>
      <c r="H3" s="9" t="s">
        <v>25</v>
      </c>
      <c r="I3" s="9">
        <v>6</v>
      </c>
      <c r="J3" s="9" t="s">
        <v>25</v>
      </c>
    </row>
    <row r="4" spans="1:10" ht="14.1" customHeight="1" x14ac:dyDescent="0.25">
      <c r="A4" s="5"/>
      <c r="B4" s="5"/>
      <c r="C4" s="5"/>
      <c r="D4" s="5"/>
      <c r="E4" s="9" t="s">
        <v>47</v>
      </c>
      <c r="F4" s="9" t="s">
        <v>26</v>
      </c>
      <c r="G4" s="9" t="s">
        <v>48</v>
      </c>
      <c r="H4" s="9" t="s">
        <v>26</v>
      </c>
      <c r="I4" s="9" t="s">
        <v>26</v>
      </c>
      <c r="J4" s="9" t="s">
        <v>26</v>
      </c>
    </row>
    <row r="5" spans="1:10" ht="14.1" customHeight="1" x14ac:dyDescent="0.25">
      <c r="A5" s="5"/>
      <c r="B5" s="5"/>
      <c r="C5" s="5"/>
      <c r="D5" s="5"/>
      <c r="E5" s="10" t="s">
        <v>49</v>
      </c>
      <c r="F5" s="10" t="s">
        <v>27</v>
      </c>
      <c r="G5" s="10" t="s">
        <v>49</v>
      </c>
      <c r="H5" s="10" t="s">
        <v>27</v>
      </c>
      <c r="I5" s="10" t="s">
        <v>50</v>
      </c>
      <c r="J5" s="10" t="s">
        <v>27</v>
      </c>
    </row>
    <row r="6" spans="1:10" ht="14.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1" customHeight="1" x14ac:dyDescent="0.25">
      <c r="A7" s="11" t="s">
        <v>28</v>
      </c>
      <c r="B7" s="5"/>
      <c r="C7" s="5"/>
      <c r="D7" s="5"/>
      <c r="E7" s="5"/>
      <c r="F7" s="5"/>
      <c r="G7" s="5"/>
      <c r="H7" s="5"/>
      <c r="I7" s="5"/>
      <c r="J7" s="5"/>
    </row>
    <row r="8" spans="1:10" ht="14.1" customHeight="1" x14ac:dyDescent="0.25">
      <c r="A8" s="5"/>
      <c r="B8" s="5" t="s">
        <v>29</v>
      </c>
      <c r="C8" s="5"/>
      <c r="D8" s="5"/>
      <c r="E8" s="14">
        <f>Input!B8</f>
        <v>4079</v>
      </c>
      <c r="F8" s="13">
        <f>E8/E$37</f>
        <v>1.3287034473323323E-2</v>
      </c>
      <c r="G8" s="14">
        <f>Input!B18</f>
        <v>99067</v>
      </c>
      <c r="H8" s="13">
        <f>G8/G$37</f>
        <v>4.0199057705877797E-2</v>
      </c>
      <c r="I8" s="14">
        <f>E8+G8</f>
        <v>103146</v>
      </c>
      <c r="J8" s="13">
        <f>I8/I$37</f>
        <v>3.7217985698213392E-2</v>
      </c>
    </row>
    <row r="9" spans="1:10" ht="14.1" customHeight="1" x14ac:dyDescent="0.25">
      <c r="A9" s="5"/>
      <c r="B9" s="5" t="s">
        <v>30</v>
      </c>
      <c r="C9" s="5"/>
      <c r="D9" s="5"/>
      <c r="E9" s="14">
        <f>Input!C8</f>
        <v>559</v>
      </c>
      <c r="F9" s="13">
        <f>E9/E$37</f>
        <v>1.820900286979097E-3</v>
      </c>
      <c r="G9" s="14">
        <f>Input!C18</f>
        <v>20216</v>
      </c>
      <c r="H9" s="13">
        <f>G9/G$37</f>
        <v>8.2031771486168505E-3</v>
      </c>
      <c r="I9" s="14">
        <f>E9+G9</f>
        <v>20775</v>
      </c>
      <c r="J9" s="13">
        <f>I9/I$37</f>
        <v>7.4962058914585473E-3</v>
      </c>
    </row>
    <row r="10" spans="1:10" ht="14.1" customHeight="1" x14ac:dyDescent="0.25">
      <c r="A10" s="5"/>
      <c r="B10" s="5" t="s">
        <v>31</v>
      </c>
      <c r="C10" s="5"/>
      <c r="D10" s="5"/>
      <c r="E10" s="14"/>
      <c r="F10" s="13"/>
      <c r="G10" s="14"/>
      <c r="H10" s="13"/>
      <c r="I10" s="14"/>
      <c r="J10" s="13"/>
    </row>
    <row r="11" spans="1:10" ht="14.1" customHeight="1" x14ac:dyDescent="0.25">
      <c r="A11" s="5"/>
      <c r="B11" s="5"/>
      <c r="C11" s="5" t="s">
        <v>32</v>
      </c>
      <c r="D11" s="5"/>
      <c r="E11" s="14">
        <f>Input!D8</f>
        <v>193295</v>
      </c>
      <c r="F11" s="13">
        <f>E11/E$37</f>
        <v>0.62964386578108156</v>
      </c>
      <c r="G11" s="14">
        <f>Input!D18</f>
        <v>1285454</v>
      </c>
      <c r="H11" s="13">
        <f>G11/G$37</f>
        <v>0.52160698844470343</v>
      </c>
      <c r="I11" s="14">
        <f>E11+G11</f>
        <v>1478749</v>
      </c>
      <c r="J11" s="13">
        <f>I11/I$37</f>
        <v>0.53357434251689217</v>
      </c>
    </row>
    <row r="12" spans="1:10" ht="14.1" customHeight="1" x14ac:dyDescent="0.25">
      <c r="A12" s="5"/>
      <c r="B12" s="5"/>
      <c r="C12" s="5" t="s">
        <v>33</v>
      </c>
      <c r="D12" s="5"/>
      <c r="E12" s="14">
        <f>Input!E8</f>
        <v>7556</v>
      </c>
      <c r="F12" s="13">
        <f>E12/E$37</f>
        <v>2.4613099406823002E-2</v>
      </c>
      <c r="G12" s="14">
        <f>Input!E18</f>
        <v>156451</v>
      </c>
      <c r="H12" s="13">
        <f>G12/G$37</f>
        <v>6.348413474862756E-2</v>
      </c>
      <c r="I12" s="14">
        <f>E12+G12</f>
        <v>164007</v>
      </c>
      <c r="J12" s="13">
        <f>I12/I$37</f>
        <v>5.9178350885219826E-2</v>
      </c>
    </row>
    <row r="13" spans="1:10" ht="14.1" customHeight="1" x14ac:dyDescent="0.25">
      <c r="A13" s="5"/>
      <c r="B13" s="5" t="s">
        <v>34</v>
      </c>
      <c r="C13" s="5"/>
      <c r="D13" s="5"/>
      <c r="E13" s="14"/>
      <c r="F13" s="13"/>
      <c r="G13" s="14"/>
      <c r="H13" s="13"/>
      <c r="I13" s="14"/>
      <c r="J13" s="13"/>
    </row>
    <row r="14" spans="1:10" ht="14.1" customHeight="1" x14ac:dyDescent="0.25">
      <c r="A14" s="5"/>
      <c r="B14" s="5"/>
      <c r="C14" s="5" t="s">
        <v>35</v>
      </c>
      <c r="D14" s="5"/>
      <c r="E14" s="15">
        <f>Input!F8</f>
        <v>74624</v>
      </c>
      <c r="F14" s="16">
        <f>E14/E$37</f>
        <v>0.24308204475049758</v>
      </c>
      <c r="G14" s="15">
        <f>Input!F18</f>
        <v>592949</v>
      </c>
      <c r="H14" s="16">
        <f>G14/G$37</f>
        <v>0.24060475302212173</v>
      </c>
      <c r="I14" s="15">
        <f>E14+G14</f>
        <v>667573</v>
      </c>
      <c r="J14" s="16">
        <f>I14/I$37</f>
        <v>0.24087916513013991</v>
      </c>
    </row>
    <row r="15" spans="1:10" ht="14.1" customHeight="1" x14ac:dyDescent="0.25">
      <c r="A15" s="5"/>
      <c r="B15" s="5"/>
      <c r="C15" s="5"/>
      <c r="D15" s="5"/>
      <c r="E15" s="14"/>
      <c r="F15" s="13"/>
      <c r="G15" s="14"/>
      <c r="H15" s="13"/>
      <c r="I15" s="14"/>
      <c r="J15" s="13"/>
    </row>
    <row r="16" spans="1:10" ht="14.1" customHeight="1" x14ac:dyDescent="0.25">
      <c r="A16" s="5"/>
      <c r="B16" s="5"/>
      <c r="C16" s="5"/>
      <c r="D16" s="5" t="s">
        <v>36</v>
      </c>
      <c r="E16" s="12">
        <f>SUM(E8:E14)</f>
        <v>280113</v>
      </c>
      <c r="F16" s="13">
        <f>E16/E$37</f>
        <v>0.91244694469870458</v>
      </c>
      <c r="G16" s="12">
        <f>SUM(G8:G14)</f>
        <v>2154137</v>
      </c>
      <c r="H16" s="13">
        <f>G16/G$37</f>
        <v>0.87409811106994739</v>
      </c>
      <c r="I16" s="12">
        <f>IF(SUM(I8:I14)=E16+G16,SUM(I8:I14),"ERROR")</f>
        <v>2434250</v>
      </c>
      <c r="J16" s="13">
        <f>I16/I$37</f>
        <v>0.8783460501219239</v>
      </c>
    </row>
    <row r="17" spans="1:10" ht="14.1" customHeight="1" x14ac:dyDescent="0.25">
      <c r="A17" s="5"/>
      <c r="B17" s="5"/>
      <c r="C17" s="5"/>
      <c r="D17" s="5"/>
      <c r="E17" s="14"/>
      <c r="F17" s="13"/>
      <c r="G17" s="14"/>
      <c r="H17" s="13"/>
      <c r="I17" s="14"/>
      <c r="J17" s="13"/>
    </row>
    <row r="18" spans="1:10" ht="14.1" customHeight="1" x14ac:dyDescent="0.25">
      <c r="A18" s="11" t="s">
        <v>37</v>
      </c>
      <c r="B18" s="5"/>
      <c r="C18" s="5"/>
      <c r="D18" s="5"/>
      <c r="E18" s="14"/>
      <c r="F18" s="13"/>
      <c r="G18" s="14"/>
      <c r="H18" s="13"/>
      <c r="I18" s="14"/>
      <c r="J18" s="13"/>
    </row>
    <row r="19" spans="1:10" ht="14.1" customHeight="1" x14ac:dyDescent="0.25">
      <c r="A19" s="5"/>
      <c r="B19" s="5" t="s">
        <v>38</v>
      </c>
      <c r="C19" s="5"/>
      <c r="D19" s="5"/>
      <c r="E19" s="12">
        <f>Input!G8</f>
        <v>0</v>
      </c>
      <c r="F19" s="13">
        <f t="shared" ref="F19:F24" si="0">E19/E$37</f>
        <v>0</v>
      </c>
      <c r="G19" s="12">
        <f>Input!G18</f>
        <v>0</v>
      </c>
      <c r="H19" s="13">
        <f t="shared" ref="H19:H24" si="1">G19/G$37</f>
        <v>0</v>
      </c>
      <c r="I19" s="12">
        <f t="shared" ref="I19:I24" si="2">E19+G19</f>
        <v>0</v>
      </c>
      <c r="J19" s="13">
        <f t="shared" ref="J19:J24" si="3">I19/I$37</f>
        <v>0</v>
      </c>
    </row>
    <row r="20" spans="1:10" ht="14.1" customHeight="1" x14ac:dyDescent="0.25">
      <c r="A20" s="5"/>
      <c r="B20" s="5" t="s">
        <v>39</v>
      </c>
      <c r="C20" s="5"/>
      <c r="D20" s="5"/>
      <c r="E20" s="14">
        <f>Input!H8</f>
        <v>417</v>
      </c>
      <c r="F20" s="13">
        <f t="shared" si="0"/>
        <v>1.3583460101436197E-3</v>
      </c>
      <c r="G20" s="14">
        <f>Input!H18</f>
        <v>2007</v>
      </c>
      <c r="H20" s="13">
        <f t="shared" si="1"/>
        <v>8.1439337837722686E-4</v>
      </c>
      <c r="I20" s="14">
        <f t="shared" si="2"/>
        <v>2424</v>
      </c>
      <c r="J20" s="13">
        <f t="shared" si="3"/>
        <v>8.7464756105393583E-4</v>
      </c>
    </row>
    <row r="21" spans="1:10" ht="14.1" customHeight="1" x14ac:dyDescent="0.25">
      <c r="A21" s="5"/>
      <c r="B21" s="5" t="s">
        <v>40</v>
      </c>
      <c r="C21" s="5"/>
      <c r="D21" s="5"/>
      <c r="E21" s="14">
        <f>Input!I8</f>
        <v>16444</v>
      </c>
      <c r="F21" s="13">
        <f t="shared" si="0"/>
        <v>5.356508822734217E-2</v>
      </c>
      <c r="G21" s="14">
        <f>Input!I18</f>
        <v>171912</v>
      </c>
      <c r="H21" s="13">
        <f t="shared" si="1"/>
        <v>6.9757844775080124E-2</v>
      </c>
      <c r="I21" s="14">
        <f t="shared" si="2"/>
        <v>188356</v>
      </c>
      <c r="J21" s="13">
        <f t="shared" si="3"/>
        <v>6.7964156769750469E-2</v>
      </c>
    </row>
    <row r="22" spans="1:10" ht="14.1" customHeight="1" x14ac:dyDescent="0.25">
      <c r="A22" s="5"/>
      <c r="B22" s="5" t="s">
        <v>57</v>
      </c>
      <c r="C22" s="5"/>
      <c r="D22" s="5"/>
      <c r="E22" s="14">
        <f>Input!K8</f>
        <v>730</v>
      </c>
      <c r="F22" s="13">
        <f t="shared" si="0"/>
        <v>2.3779198738725239E-3</v>
      </c>
      <c r="G22" s="14">
        <f>Input!K18</f>
        <v>127641</v>
      </c>
      <c r="H22" s="13">
        <f t="shared" si="1"/>
        <v>5.1793714603611166E-2</v>
      </c>
      <c r="I22" s="14">
        <f t="shared" ref="I22" si="4">E22+G22</f>
        <v>128371</v>
      </c>
      <c r="J22" s="13">
        <f t="shared" si="3"/>
        <v>4.6319877087481351E-2</v>
      </c>
    </row>
    <row r="23" spans="1:10" ht="14.1" customHeight="1" x14ac:dyDescent="0.25">
      <c r="A23" s="5"/>
      <c r="B23" s="5" t="s">
        <v>9</v>
      </c>
      <c r="C23" s="5"/>
      <c r="D23" s="5"/>
      <c r="E23" s="14">
        <f>Input!J8</f>
        <v>12968</v>
      </c>
      <c r="F23" s="13">
        <f t="shared" si="0"/>
        <v>4.2242280718327245E-2</v>
      </c>
      <c r="G23" s="14">
        <f>Input!J18</f>
        <v>40808</v>
      </c>
      <c r="H23" s="13">
        <f t="shared" si="1"/>
        <v>1.6558926250532076E-2</v>
      </c>
      <c r="I23" s="14">
        <f t="shared" si="2"/>
        <v>53776</v>
      </c>
      <c r="J23" s="13">
        <f t="shared" si="3"/>
        <v>1.9403897377572796E-2</v>
      </c>
    </row>
    <row r="24" spans="1:10" ht="14.1" customHeight="1" x14ac:dyDescent="0.25">
      <c r="A24" s="5"/>
      <c r="B24" s="5" t="s">
        <v>11</v>
      </c>
      <c r="C24" s="5"/>
      <c r="D24" s="5"/>
      <c r="E24" s="15">
        <f>Input!L8+Input!M8</f>
        <v>16</v>
      </c>
      <c r="F24" s="16">
        <f t="shared" si="0"/>
        <v>5.2118791756110115E-5</v>
      </c>
      <c r="G24" s="15">
        <f>Input!L18+Input!M18</f>
        <v>432</v>
      </c>
      <c r="H24" s="16">
        <f t="shared" si="1"/>
        <v>1.752954357045152E-4</v>
      </c>
      <c r="I24" s="15">
        <f t="shared" si="2"/>
        <v>448</v>
      </c>
      <c r="J24" s="16">
        <f t="shared" si="3"/>
        <v>1.6165103438620597E-4</v>
      </c>
    </row>
    <row r="25" spans="1:10" ht="14.1" customHeight="1" x14ac:dyDescent="0.25">
      <c r="A25" s="5"/>
      <c r="B25" s="5"/>
      <c r="C25" s="5"/>
      <c r="D25" s="5"/>
      <c r="E25" s="14"/>
      <c r="F25" s="13"/>
      <c r="G25" s="14"/>
      <c r="H25" s="13"/>
      <c r="I25" s="14"/>
      <c r="J25" s="13"/>
    </row>
    <row r="26" spans="1:10" ht="14.1" customHeight="1" x14ac:dyDescent="0.25">
      <c r="A26" s="5"/>
      <c r="B26" s="5"/>
      <c r="C26" s="5"/>
      <c r="D26" s="5" t="s">
        <v>41</v>
      </c>
      <c r="E26" s="17">
        <f>SUM(E19:E24)</f>
        <v>30575</v>
      </c>
      <c r="F26" s="18">
        <f>E26/E$37</f>
        <v>9.9595753621441671E-2</v>
      </c>
      <c r="G26" s="17">
        <f>SUM(G19:G24)</f>
        <v>342800</v>
      </c>
      <c r="H26" s="18">
        <f>G26/G$37</f>
        <v>0.13910017444330511</v>
      </c>
      <c r="I26" s="17">
        <f>IF(SUM(I19:I24)=E26+G26,SUM(I19:I24),"ERROR")</f>
        <v>373375</v>
      </c>
      <c r="J26" s="18">
        <f>I26/I$37</f>
        <v>0.13472422983024476</v>
      </c>
    </row>
    <row r="27" spans="1:10" ht="14.1" customHeight="1" x14ac:dyDescent="0.25">
      <c r="A27" s="5"/>
      <c r="B27" s="5"/>
      <c r="C27" s="5"/>
      <c r="D27" s="5"/>
      <c r="E27" s="14"/>
      <c r="F27" s="13"/>
      <c r="G27" s="14"/>
      <c r="H27" s="13"/>
      <c r="I27" s="14"/>
      <c r="J27" s="13"/>
    </row>
    <row r="28" spans="1:10" ht="14.1" customHeight="1" x14ac:dyDescent="0.25">
      <c r="A28" s="5"/>
      <c r="B28" s="5"/>
      <c r="C28" s="5"/>
      <c r="D28" s="5" t="s">
        <v>51</v>
      </c>
      <c r="E28" s="14">
        <f>E16+E26</f>
        <v>310688</v>
      </c>
      <c r="F28" s="13">
        <f>E28/E$37</f>
        <v>1.0120426983201463</v>
      </c>
      <c r="G28" s="14">
        <f>G16+G26</f>
        <v>2496937</v>
      </c>
      <c r="H28" s="13">
        <f>G28/G$37</f>
        <v>1.0131982855132524</v>
      </c>
      <c r="I28" s="14">
        <f>I16+I26</f>
        <v>2807625</v>
      </c>
      <c r="J28" s="13">
        <f>I28/I$37</f>
        <v>1.0130702799521687</v>
      </c>
    </row>
    <row r="29" spans="1:10" ht="14.1" customHeight="1" x14ac:dyDescent="0.25">
      <c r="A29" s="5"/>
      <c r="B29" s="5"/>
      <c r="C29" s="5"/>
      <c r="D29" s="5"/>
      <c r="E29" s="14"/>
      <c r="F29" s="13"/>
      <c r="G29" s="14"/>
      <c r="H29" s="13"/>
      <c r="I29" s="14"/>
      <c r="J29" s="13"/>
    </row>
    <row r="30" spans="1:10" ht="14.1" customHeight="1" x14ac:dyDescent="0.25">
      <c r="A30" s="5"/>
      <c r="B30" s="5" t="s">
        <v>42</v>
      </c>
      <c r="C30" s="5" t="s">
        <v>43</v>
      </c>
      <c r="D30" s="5"/>
      <c r="E30" s="12">
        <f>Input!N8</f>
        <v>-29</v>
      </c>
      <c r="F30" s="13">
        <f>E30/E$37</f>
        <v>-9.4465310057949582E-5</v>
      </c>
      <c r="G30" s="12">
        <f>Input!N18</f>
        <v>-2614</v>
      </c>
      <c r="H30" s="13">
        <f>G30/G$37</f>
        <v>-1.0606996966009323E-3</v>
      </c>
      <c r="I30" s="12">
        <f>E30+G30</f>
        <v>-2643</v>
      </c>
      <c r="J30" s="13">
        <f>I30/I$37</f>
        <v>-9.5366893723826428E-4</v>
      </c>
    </row>
    <row r="31" spans="1:10" ht="14.1" customHeight="1" x14ac:dyDescent="0.25">
      <c r="A31" s="5"/>
      <c r="B31" s="5"/>
      <c r="C31" s="5" t="s">
        <v>52</v>
      </c>
      <c r="D31" s="5"/>
      <c r="E31" s="15">
        <f>Input!O8</f>
        <v>-3668</v>
      </c>
      <c r="F31" s="16">
        <f>E31/E$37</f>
        <v>-1.1948233010088244E-2</v>
      </c>
      <c r="G31" s="15">
        <f>Input!O18</f>
        <v>-30071</v>
      </c>
      <c r="H31" s="16">
        <f>G31/G$37</f>
        <v>-1.2202104275626104E-2</v>
      </c>
      <c r="I31" s="15">
        <f>E31+G31</f>
        <v>-33739</v>
      </c>
      <c r="J31" s="16">
        <f>I31/I$37</f>
        <v>-1.2173982699009381E-2</v>
      </c>
    </row>
    <row r="32" spans="1:10" ht="14.1" customHeight="1" x14ac:dyDescent="0.25">
      <c r="A32" s="5"/>
      <c r="B32" s="5"/>
      <c r="C32" s="5"/>
      <c r="D32" s="5"/>
      <c r="E32" s="14"/>
      <c r="F32" s="13"/>
      <c r="G32" s="14"/>
      <c r="H32" s="13"/>
      <c r="I32" s="14"/>
      <c r="J32" s="13"/>
    </row>
    <row r="33" spans="1:10" ht="14.1" customHeight="1" x14ac:dyDescent="0.25">
      <c r="A33" s="5"/>
      <c r="B33" s="5"/>
      <c r="C33" s="5"/>
      <c r="D33" s="5" t="s">
        <v>44</v>
      </c>
      <c r="E33" s="17">
        <f>SUM(E28:E31)</f>
        <v>306991</v>
      </c>
      <c r="F33" s="18">
        <f>E33/E$37</f>
        <v>1</v>
      </c>
      <c r="G33" s="17">
        <f>SUM(G28:G31)</f>
        <v>2464252</v>
      </c>
      <c r="H33" s="18">
        <f>G33/G$37</f>
        <v>0.99993548154102541</v>
      </c>
      <c r="I33" s="17">
        <f>IF(SUM(I28:I31)=E33+G33,SUM(I28:I31),"ERROR")</f>
        <v>2771243</v>
      </c>
      <c r="J33" s="18">
        <f>I33/I$37</f>
        <v>0.99994262831592096</v>
      </c>
    </row>
    <row r="34" spans="1:10" ht="14.1" customHeight="1" x14ac:dyDescent="0.25">
      <c r="A34" s="5"/>
      <c r="B34" s="5"/>
      <c r="C34" s="5"/>
      <c r="D34" s="5"/>
      <c r="E34" s="12"/>
      <c r="F34" s="13"/>
      <c r="G34" s="12"/>
      <c r="H34" s="13"/>
      <c r="I34" s="12"/>
      <c r="J34" s="13"/>
    </row>
    <row r="35" spans="1:10" ht="14.1" customHeight="1" x14ac:dyDescent="0.25">
      <c r="A35" s="5"/>
      <c r="B35" s="5" t="s">
        <v>45</v>
      </c>
      <c r="C35" s="5"/>
      <c r="D35" s="5"/>
      <c r="E35" s="19">
        <f>Input!P8</f>
        <v>0</v>
      </c>
      <c r="F35" s="16">
        <f>E35/E$37</f>
        <v>0</v>
      </c>
      <c r="G35" s="19">
        <f>Input!P18</f>
        <v>159</v>
      </c>
      <c r="H35" s="16">
        <f>G35/G$37</f>
        <v>6.4518458974578512E-5</v>
      </c>
      <c r="I35" s="19">
        <f>E35+G35</f>
        <v>159</v>
      </c>
      <c r="J35" s="16">
        <f>I35/I$37</f>
        <v>5.7371684079032925E-5</v>
      </c>
    </row>
    <row r="36" spans="1:10" ht="14.1" customHeight="1" x14ac:dyDescent="0.25">
      <c r="A36" s="5"/>
      <c r="B36" s="5"/>
      <c r="C36" s="5"/>
      <c r="D36" s="5"/>
      <c r="E36" s="14"/>
      <c r="F36" s="13"/>
      <c r="G36" s="14"/>
      <c r="H36" s="13"/>
      <c r="I36" s="14"/>
      <c r="J36" s="13"/>
    </row>
    <row r="37" spans="1:10" ht="14.1" customHeight="1" x14ac:dyDescent="0.25">
      <c r="A37" s="5"/>
      <c r="B37" s="5"/>
      <c r="C37" s="5"/>
      <c r="D37" s="5" t="s">
        <v>46</v>
      </c>
      <c r="E37" s="17">
        <f>IF(Input!S8=E33+E35,E33+E35,"ERROR")</f>
        <v>306991</v>
      </c>
      <c r="F37" s="18">
        <f>E37/E$37</f>
        <v>1</v>
      </c>
      <c r="G37" s="17">
        <f>IF(Input!S18=G33+G35,G33+G35,"ERROR")</f>
        <v>2464411</v>
      </c>
      <c r="H37" s="18">
        <f>G37/G$37</f>
        <v>1</v>
      </c>
      <c r="I37" s="17">
        <f>IF(I33+I35=E37+G37,I33+I35,"ERROR")</f>
        <v>2771402</v>
      </c>
      <c r="J37" s="18">
        <f>I37/I$37</f>
        <v>1</v>
      </c>
    </row>
    <row r="39" spans="1:10" x14ac:dyDescent="0.25">
      <c r="A39" s="20"/>
    </row>
  </sheetData>
  <phoneticPr fontId="0" type="noConversion"/>
  <printOptions horizontalCentered="1" verticalCentered="1"/>
  <pageMargins left="0.5" right="0.5" top="0.5" bottom="0.19" header="0" footer="0"/>
  <pageSetup orientation="landscape" r:id="rId1"/>
  <headerFooter alignWithMargins="0"/>
  <ignoredErrors>
    <ignoredError sqref="G8:G9 G11:G12 G14 F16:G16 G19:G20 G21:G24 I8:I14 I19:I24 I26 I30:I37 F26:G33 H28:I28 G35 G37 I1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9EF335-7D15-4593-9945-144DF33BFF35}">
  <ds:schemaRefs>
    <ds:schemaRef ds:uri="http://schemas.microsoft.com/sharepoint/v3"/>
    <ds:schemaRef ds:uri="284f5044-7891-4dcb-a4ce-8cacddd3fa5f"/>
    <ds:schemaRef ds:uri="e97105f5-e1dc-49f0-a421-45d5cba715f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682FA8-4781-4AD5-B248-7DF2567CB9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6BF95-8E91-43E2-AA5C-ABE4E923B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Printed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2018-03-21T15:57:53Z</cp:lastPrinted>
  <dcterms:created xsi:type="dcterms:W3CDTF">2000-02-28T19:28:54Z</dcterms:created>
  <dcterms:modified xsi:type="dcterms:W3CDTF">2022-06-29T17:19:39Z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