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ermontgov.sharepoint.com/teams/DFR-Admin/Shared Documents/Public Information/website/website-management/documents-uploaded/"/>
    </mc:Choice>
  </mc:AlternateContent>
  <xr:revisionPtr revIDLastSave="0" documentId="8_{496AFD79-30FA-4C67-95BB-41F23DCF9DDD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Comparative" sheetId="2" r:id="rId1"/>
    <sheet name="Condensed" sheetId="1" r:id="rId2"/>
  </sheets>
  <definedNames>
    <definedName name="_xlnm.Print_Area" localSheetId="0">Comparative!$A$1:$M$53</definedName>
    <definedName name="_xlnm.Print_Area" localSheetId="1">Condensed!$A$1:$AG$43</definedName>
    <definedName name="Print_Area_MI" localSheetId="1">Condensed!$V$1:$AG$41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2" l="1"/>
  <c r="D14" i="2"/>
  <c r="E14" i="2"/>
  <c r="F14" i="2"/>
  <c r="B14" i="2"/>
  <c r="J18" i="1"/>
  <c r="M18" i="1" s="1"/>
  <c r="N21" i="1"/>
  <c r="J21" i="1"/>
  <c r="M36" i="1"/>
  <c r="M34" i="1"/>
  <c r="M33" i="1"/>
  <c r="M32" i="1"/>
  <c r="M31" i="1"/>
  <c r="M30" i="1"/>
  <c r="M21" i="1"/>
  <c r="M20" i="1"/>
  <c r="M19" i="1"/>
  <c r="H36" i="1"/>
  <c r="H23" i="1"/>
  <c r="H25" i="1" s="1"/>
  <c r="M13" i="1"/>
  <c r="M11" i="1"/>
  <c r="M10" i="1"/>
  <c r="H13" i="1"/>
  <c r="N19" i="1"/>
  <c r="J19" i="1"/>
  <c r="AG21" i="1"/>
  <c r="AG20" i="1"/>
  <c r="AG19" i="1"/>
  <c r="AG18" i="1"/>
  <c r="N10" i="1"/>
  <c r="O11" i="1"/>
  <c r="U11" i="1" s="1"/>
  <c r="K11" i="1"/>
  <c r="J11" i="1"/>
  <c r="N31" i="1"/>
  <c r="J31" i="1"/>
  <c r="N33" i="1"/>
  <c r="J33" i="1"/>
  <c r="J30" i="1"/>
  <c r="N34" i="1"/>
  <c r="J34" i="1"/>
  <c r="G34" i="1"/>
  <c r="K23" i="1"/>
  <c r="L33" i="2"/>
  <c r="F33" i="2"/>
  <c r="D33" i="2"/>
  <c r="M33" i="2"/>
  <c r="G21" i="1"/>
  <c r="G20" i="1"/>
  <c r="G19" i="1"/>
  <c r="G18" i="1"/>
  <c r="J33" i="2"/>
  <c r="B33" i="2"/>
  <c r="B51" i="2" s="1"/>
  <c r="K36" i="1"/>
  <c r="I36" i="1"/>
  <c r="I23" i="1"/>
  <c r="U31" i="1"/>
  <c r="U19" i="1"/>
  <c r="U18" i="1"/>
  <c r="U20" i="1"/>
  <c r="U21" i="1"/>
  <c r="AG11" i="1"/>
  <c r="AE13" i="1"/>
  <c r="G10" i="1"/>
  <c r="D10" i="1"/>
  <c r="AB10" i="1"/>
  <c r="AG10" i="1"/>
  <c r="O24" i="2"/>
  <c r="E33" i="2"/>
  <c r="E51" i="2" s="1"/>
  <c r="H33" i="2"/>
  <c r="H51" i="2" s="1"/>
  <c r="A38" i="2"/>
  <c r="A20" i="2"/>
  <c r="A11" i="2"/>
  <c r="AD13" i="1"/>
  <c r="AC13" i="1"/>
  <c r="AC23" i="1"/>
  <c r="K22" i="2" s="1"/>
  <c r="K25" i="2" s="1"/>
  <c r="AC36" i="1"/>
  <c r="K40" i="2"/>
  <c r="B13" i="1"/>
  <c r="C13" i="1"/>
  <c r="D11" i="1"/>
  <c r="E13" i="1"/>
  <c r="F13" i="1"/>
  <c r="G11" i="1"/>
  <c r="I13" i="1"/>
  <c r="L13" i="1"/>
  <c r="N13" i="1"/>
  <c r="E13" i="2" s="1"/>
  <c r="P13" i="1"/>
  <c r="Q13" i="1"/>
  <c r="R13" i="1"/>
  <c r="S13" i="1"/>
  <c r="T13" i="1"/>
  <c r="W13" i="1"/>
  <c r="I13" i="2" s="1"/>
  <c r="X13" i="1"/>
  <c r="Y13" i="1"/>
  <c r="Z13" i="1"/>
  <c r="AA13" i="1"/>
  <c r="AB11" i="1"/>
  <c r="AF13" i="1"/>
  <c r="B23" i="1"/>
  <c r="C23" i="1"/>
  <c r="D18" i="1"/>
  <c r="D19" i="1"/>
  <c r="D20" i="1"/>
  <c r="D21" i="1"/>
  <c r="E23" i="1"/>
  <c r="F23" i="1"/>
  <c r="L23" i="1"/>
  <c r="O23" i="1"/>
  <c r="P23" i="1"/>
  <c r="Q23" i="1"/>
  <c r="R23" i="1"/>
  <c r="T23" i="1"/>
  <c r="X23" i="1"/>
  <c r="H22" i="2" s="1"/>
  <c r="H25" i="2" s="1"/>
  <c r="H26" i="2" s="1"/>
  <c r="W23" i="1"/>
  <c r="I22" i="2" s="1"/>
  <c r="I25" i="2" s="1"/>
  <c r="I26" i="2" s="1"/>
  <c r="Y23" i="1"/>
  <c r="Z23" i="1"/>
  <c r="AA23" i="1"/>
  <c r="AB18" i="1"/>
  <c r="AB19" i="1"/>
  <c r="AB20" i="1"/>
  <c r="AB21" i="1"/>
  <c r="AD23" i="1"/>
  <c r="L22" i="2" s="1"/>
  <c r="L25" i="2" s="1"/>
  <c r="L26" i="2" s="1"/>
  <c r="AE23" i="1"/>
  <c r="AF23" i="1"/>
  <c r="B36" i="1"/>
  <c r="C36" i="1"/>
  <c r="D30" i="1"/>
  <c r="D31" i="1"/>
  <c r="D32" i="1"/>
  <c r="D33" i="1"/>
  <c r="D34" i="1"/>
  <c r="E36" i="1"/>
  <c r="F36" i="1"/>
  <c r="G30" i="1"/>
  <c r="G31" i="1"/>
  <c r="G32" i="1"/>
  <c r="G33" i="1"/>
  <c r="L36" i="1"/>
  <c r="O36" i="1"/>
  <c r="P36" i="1"/>
  <c r="Q36" i="1"/>
  <c r="R36" i="1"/>
  <c r="T36" i="1"/>
  <c r="U30" i="1"/>
  <c r="U32" i="1"/>
  <c r="U33" i="1"/>
  <c r="U34" i="1"/>
  <c r="X36" i="1"/>
  <c r="H40" i="2" s="1"/>
  <c r="H43" i="2" s="1"/>
  <c r="H44" i="2" s="1"/>
  <c r="W36" i="1"/>
  <c r="I40" i="2" s="1"/>
  <c r="Y36" i="1"/>
  <c r="Z36" i="1"/>
  <c r="AA36" i="1"/>
  <c r="AB30" i="1"/>
  <c r="AB31" i="1"/>
  <c r="AB32" i="1"/>
  <c r="AB33" i="1"/>
  <c r="AB34" i="1"/>
  <c r="AD36" i="1"/>
  <c r="L40" i="2" s="1"/>
  <c r="L43" i="2" s="1"/>
  <c r="L44" i="2" s="1"/>
  <c r="AE36" i="1"/>
  <c r="AF36" i="1"/>
  <c r="AG30" i="1"/>
  <c r="AG31" i="1"/>
  <c r="AG32" i="1"/>
  <c r="AG33" i="1"/>
  <c r="AG34" i="1"/>
  <c r="O42" i="2"/>
  <c r="S36" i="1"/>
  <c r="S23" i="1"/>
  <c r="K43" i="2"/>
  <c r="AH19" i="1" l="1"/>
  <c r="H38" i="1"/>
  <c r="J13" i="1"/>
  <c r="AC25" i="1"/>
  <c r="AC38" i="1" s="1"/>
  <c r="E25" i="1"/>
  <c r="E38" i="1" s="1"/>
  <c r="G13" i="1"/>
  <c r="C13" i="2" s="1"/>
  <c r="C16" i="2" s="1"/>
  <c r="J36" i="1"/>
  <c r="Q25" i="1"/>
  <c r="Q38" i="1" s="1"/>
  <c r="K13" i="2"/>
  <c r="Y25" i="1"/>
  <c r="Y38" i="1" s="1"/>
  <c r="R25" i="1"/>
  <c r="R38" i="1" s="1"/>
  <c r="P25" i="1"/>
  <c r="P38" i="1" s="1"/>
  <c r="I25" i="1"/>
  <c r="I38" i="1" s="1"/>
  <c r="AH34" i="1"/>
  <c r="N36" i="1"/>
  <c r="E40" i="2" s="1"/>
  <c r="E43" i="2" s="1"/>
  <c r="E44" i="2" s="1"/>
  <c r="AH32" i="1"/>
  <c r="AH31" i="1"/>
  <c r="G36" i="1"/>
  <c r="C40" i="2" s="1"/>
  <c r="C43" i="2" s="1"/>
  <c r="C44" i="2" s="1"/>
  <c r="D36" i="1"/>
  <c r="B40" i="2" s="1"/>
  <c r="B43" i="2" s="1"/>
  <c r="B44" i="2" s="1"/>
  <c r="AG36" i="1"/>
  <c r="M40" i="2" s="1"/>
  <c r="M43" i="2" s="1"/>
  <c r="M44" i="2" s="1"/>
  <c r="AB36" i="1"/>
  <c r="J40" i="2" s="1"/>
  <c r="J43" i="2" s="1"/>
  <c r="J44" i="2" s="1"/>
  <c r="AH30" i="1"/>
  <c r="U36" i="1"/>
  <c r="F40" i="2" s="1"/>
  <c r="F43" i="2" s="1"/>
  <c r="F44" i="2" s="1"/>
  <c r="AH21" i="1"/>
  <c r="N23" i="1"/>
  <c r="E22" i="2" s="1"/>
  <c r="E25" i="2" s="1"/>
  <c r="E26" i="2" s="1"/>
  <c r="L25" i="1"/>
  <c r="L38" i="1" s="1"/>
  <c r="V21" i="1"/>
  <c r="AH20" i="1"/>
  <c r="V20" i="1"/>
  <c r="G23" i="1"/>
  <c r="C22" i="2" s="1"/>
  <c r="V19" i="1"/>
  <c r="Z25" i="1"/>
  <c r="Z38" i="1" s="1"/>
  <c r="AB23" i="1"/>
  <c r="J22" i="2" s="1"/>
  <c r="J25" i="2" s="1"/>
  <c r="J26" i="2" s="1"/>
  <c r="AH18" i="1"/>
  <c r="S25" i="1"/>
  <c r="S38" i="1" s="1"/>
  <c r="U23" i="1"/>
  <c r="F22" i="2" s="1"/>
  <c r="F25" i="2" s="1"/>
  <c r="F26" i="2" s="1"/>
  <c r="J23" i="1"/>
  <c r="M23" i="1" s="1"/>
  <c r="D23" i="1"/>
  <c r="B22" i="2" s="1"/>
  <c r="B25" i="2" s="1"/>
  <c r="B26" i="2" s="1"/>
  <c r="C25" i="1"/>
  <c r="C38" i="1" s="1"/>
  <c r="V18" i="1"/>
  <c r="AH11" i="1"/>
  <c r="AE25" i="1"/>
  <c r="AE38" i="1" s="1"/>
  <c r="O13" i="1"/>
  <c r="O25" i="1" s="1"/>
  <c r="O38" i="1" s="1"/>
  <c r="K13" i="1"/>
  <c r="K25" i="1" s="1"/>
  <c r="K38" i="1" s="1"/>
  <c r="V11" i="1"/>
  <c r="B25" i="1"/>
  <c r="B38" i="1" s="1"/>
  <c r="AA25" i="1"/>
  <c r="AA38" i="1" s="1"/>
  <c r="AG13" i="1"/>
  <c r="M13" i="2" s="1"/>
  <c r="AF25" i="1"/>
  <c r="AF38" i="1" s="1"/>
  <c r="AH10" i="1"/>
  <c r="U10" i="1"/>
  <c r="AH33" i="1"/>
  <c r="AG23" i="1"/>
  <c r="M22" i="2" s="1"/>
  <c r="M25" i="2" s="1"/>
  <c r="M26" i="2" s="1"/>
  <c r="AD25" i="1"/>
  <c r="AD38" i="1" s="1"/>
  <c r="L13" i="2"/>
  <c r="L31" i="2" s="1"/>
  <c r="L49" i="2" s="1"/>
  <c r="AB13" i="1"/>
  <c r="I43" i="2"/>
  <c r="I44" i="2" s="1"/>
  <c r="X25" i="1"/>
  <c r="X38" i="1" s="1"/>
  <c r="I16" i="2"/>
  <c r="I17" i="2" s="1"/>
  <c r="I31" i="2"/>
  <c r="I49" i="2" s="1"/>
  <c r="W25" i="1"/>
  <c r="H13" i="2"/>
  <c r="T25" i="1"/>
  <c r="T38" i="1" s="1"/>
  <c r="E16" i="2"/>
  <c r="E17" i="2" s="1"/>
  <c r="V34" i="1"/>
  <c r="V30" i="1"/>
  <c r="V32" i="1"/>
  <c r="V31" i="1"/>
  <c r="F25" i="1"/>
  <c r="F38" i="1" s="1"/>
  <c r="D13" i="1"/>
  <c r="J51" i="2"/>
  <c r="D51" i="2"/>
  <c r="M51" i="2"/>
  <c r="F51" i="2"/>
  <c r="L51" i="2"/>
  <c r="K33" i="2"/>
  <c r="C33" i="2"/>
  <c r="I33" i="2"/>
  <c r="O15" i="2"/>
  <c r="AI19" i="1" l="1"/>
  <c r="D40" i="2"/>
  <c r="D43" i="2" s="1"/>
  <c r="D44" i="2" s="1"/>
  <c r="K31" i="2"/>
  <c r="K49" i="2" s="1"/>
  <c r="K16" i="2"/>
  <c r="U13" i="1"/>
  <c r="F13" i="2" s="1"/>
  <c r="F16" i="2" s="1"/>
  <c r="F17" i="2" s="1"/>
  <c r="AI34" i="1"/>
  <c r="V33" i="1"/>
  <c r="AI32" i="1"/>
  <c r="AI31" i="1"/>
  <c r="N40" i="2"/>
  <c r="N43" i="2" s="1"/>
  <c r="N44" i="2" s="1"/>
  <c r="AH36" i="1"/>
  <c r="AI30" i="1"/>
  <c r="AI21" i="1"/>
  <c r="N25" i="1"/>
  <c r="N38" i="1" s="1"/>
  <c r="E31" i="2"/>
  <c r="E49" i="2" s="1"/>
  <c r="E52" i="2" s="1"/>
  <c r="E53" i="2" s="1"/>
  <c r="D22" i="2"/>
  <c r="D25" i="2" s="1"/>
  <c r="D26" i="2" s="1"/>
  <c r="AH23" i="1"/>
  <c r="AI20" i="1"/>
  <c r="J25" i="1"/>
  <c r="J38" i="1" s="1"/>
  <c r="G25" i="1"/>
  <c r="G38" i="1" s="1"/>
  <c r="AI18" i="1"/>
  <c r="AI11" i="1"/>
  <c r="D13" i="2"/>
  <c r="D16" i="2" s="1"/>
  <c r="D17" i="2" s="1"/>
  <c r="V10" i="1"/>
  <c r="AI10" i="1" s="1"/>
  <c r="N22" i="2"/>
  <c r="N25" i="2" s="1"/>
  <c r="N26" i="2" s="1"/>
  <c r="M31" i="2"/>
  <c r="M49" i="2" s="1"/>
  <c r="M52" i="2" s="1"/>
  <c r="M53" i="2" s="1"/>
  <c r="AG25" i="1"/>
  <c r="AG38" i="1" s="1"/>
  <c r="M16" i="2"/>
  <c r="M17" i="2" s="1"/>
  <c r="L34" i="2"/>
  <c r="L35" i="2" s="1"/>
  <c r="L52" i="2"/>
  <c r="L53" i="2" s="1"/>
  <c r="L16" i="2"/>
  <c r="J13" i="2"/>
  <c r="AB25" i="1"/>
  <c r="AB38" i="1" s="1"/>
  <c r="AH13" i="1"/>
  <c r="W38" i="1"/>
  <c r="H31" i="2"/>
  <c r="H16" i="2"/>
  <c r="H17" i="2" s="1"/>
  <c r="C31" i="2"/>
  <c r="C49" i="2" s="1"/>
  <c r="C25" i="2"/>
  <c r="D25" i="1"/>
  <c r="D38" i="1" s="1"/>
  <c r="B13" i="2"/>
  <c r="N33" i="2"/>
  <c r="I51" i="2"/>
  <c r="I34" i="2"/>
  <c r="I35" i="2" s="1"/>
  <c r="C51" i="2"/>
  <c r="G33" i="2"/>
  <c r="K34" i="2"/>
  <c r="K51" i="2"/>
  <c r="K52" i="2" s="1"/>
  <c r="V36" i="1" l="1"/>
  <c r="AI36" i="1" s="1"/>
  <c r="G43" i="2"/>
  <c r="G44" i="2" s="1"/>
  <c r="G40" i="2"/>
  <c r="B41" i="2" s="1"/>
  <c r="E34" i="2"/>
  <c r="E35" i="2" s="1"/>
  <c r="F31" i="2"/>
  <c r="F49" i="2" s="1"/>
  <c r="F52" i="2" s="1"/>
  <c r="F53" i="2" s="1"/>
  <c r="U25" i="1"/>
  <c r="U38" i="1" s="1"/>
  <c r="AI33" i="1"/>
  <c r="V23" i="1"/>
  <c r="AI23" i="1" s="1"/>
  <c r="G22" i="2"/>
  <c r="D23" i="2" s="1"/>
  <c r="C34" i="2"/>
  <c r="C35" i="2" s="1"/>
  <c r="D31" i="2"/>
  <c r="D49" i="2" s="1"/>
  <c r="D52" i="2" s="1"/>
  <c r="D53" i="2" s="1"/>
  <c r="M25" i="1"/>
  <c r="M38" i="1" s="1"/>
  <c r="M34" i="2"/>
  <c r="M35" i="2" s="1"/>
  <c r="V13" i="1"/>
  <c r="AI13" i="1" s="1"/>
  <c r="J16" i="2"/>
  <c r="J17" i="2" s="1"/>
  <c r="J31" i="2"/>
  <c r="N31" i="2" s="1"/>
  <c r="N34" i="2" s="1"/>
  <c r="N35" i="2" s="1"/>
  <c r="N13" i="2"/>
  <c r="N16" i="2" s="1"/>
  <c r="N17" i="2" s="1"/>
  <c r="AH25" i="1"/>
  <c r="AH38" i="1" s="1"/>
  <c r="H49" i="2"/>
  <c r="H34" i="2"/>
  <c r="H35" i="2" s="1"/>
  <c r="C26" i="2"/>
  <c r="G25" i="2"/>
  <c r="G26" i="2" s="1"/>
  <c r="B31" i="2"/>
  <c r="G13" i="2"/>
  <c r="B16" i="2"/>
  <c r="O33" i="2"/>
  <c r="I52" i="2"/>
  <c r="I53" i="2" s="1"/>
  <c r="N51" i="2"/>
  <c r="C52" i="2"/>
  <c r="G51" i="2"/>
  <c r="J41" i="2" l="1"/>
  <c r="M41" i="2"/>
  <c r="C41" i="2"/>
  <c r="I41" i="2"/>
  <c r="E41" i="2"/>
  <c r="D41" i="2"/>
  <c r="L41" i="2"/>
  <c r="H41" i="2"/>
  <c r="O40" i="2"/>
  <c r="F41" i="2"/>
  <c r="K41" i="2"/>
  <c r="N41" i="2"/>
  <c r="G41" i="2"/>
  <c r="F34" i="2"/>
  <c r="F35" i="2" s="1"/>
  <c r="G23" i="2"/>
  <c r="B23" i="2"/>
  <c r="C23" i="2"/>
  <c r="I23" i="2"/>
  <c r="F23" i="2"/>
  <c r="H23" i="2"/>
  <c r="K23" i="2"/>
  <c r="E23" i="2"/>
  <c r="N23" i="2"/>
  <c r="M23" i="2"/>
  <c r="L23" i="2"/>
  <c r="J23" i="2"/>
  <c r="O22" i="2"/>
  <c r="D34" i="2"/>
  <c r="D35" i="2" s="1"/>
  <c r="V25" i="1"/>
  <c r="V38" i="1" s="1"/>
  <c r="AI38" i="1" s="1"/>
  <c r="J49" i="2"/>
  <c r="J52" i="2" s="1"/>
  <c r="J53" i="2" s="1"/>
  <c r="J34" i="2"/>
  <c r="J35" i="2" s="1"/>
  <c r="H52" i="2"/>
  <c r="H53" i="2" s="1"/>
  <c r="H14" i="2"/>
  <c r="N14" i="2"/>
  <c r="G14" i="2"/>
  <c r="I14" i="2"/>
  <c r="J14" i="2"/>
  <c r="L14" i="2"/>
  <c r="M14" i="2"/>
  <c r="K14" i="2"/>
  <c r="O13" i="2"/>
  <c r="G31" i="2"/>
  <c r="B49" i="2"/>
  <c r="B34" i="2"/>
  <c r="B17" i="2"/>
  <c r="G16" i="2"/>
  <c r="G17" i="2" s="1"/>
  <c r="O51" i="2"/>
  <c r="C53" i="2"/>
  <c r="AI25" i="1" l="1"/>
  <c r="N49" i="2"/>
  <c r="N52" i="2" s="1"/>
  <c r="N53" i="2" s="1"/>
  <c r="O31" i="2"/>
  <c r="I32" i="2"/>
  <c r="H32" i="2"/>
  <c r="E32" i="2"/>
  <c r="F32" i="2"/>
  <c r="N32" i="2"/>
  <c r="D32" i="2"/>
  <c r="L32" i="2"/>
  <c r="C32" i="2"/>
  <c r="J32" i="2"/>
  <c r="G32" i="2"/>
  <c r="K32" i="2"/>
  <c r="M32" i="2"/>
  <c r="B32" i="2"/>
  <c r="B35" i="2"/>
  <c r="G34" i="2"/>
  <c r="G35" i="2" s="1"/>
  <c r="G49" i="2"/>
  <c r="B50" i="2" s="1"/>
  <c r="B52" i="2"/>
  <c r="B53" i="2" l="1"/>
  <c r="G52" i="2"/>
  <c r="G53" i="2" s="1"/>
  <c r="F50" i="2"/>
  <c r="H50" i="2"/>
  <c r="J50" i="2"/>
  <c r="O49" i="2"/>
  <c r="K50" i="2"/>
  <c r="G50" i="2"/>
  <c r="D50" i="2"/>
  <c r="N50" i="2"/>
  <c r="L50" i="2"/>
  <c r="M50" i="2"/>
  <c r="C50" i="2"/>
  <c r="I50" i="2"/>
  <c r="E50" i="2"/>
</calcChain>
</file>

<file path=xl/sharedStrings.xml><?xml version="1.0" encoding="utf-8"?>
<sst xmlns="http://schemas.openxmlformats.org/spreadsheetml/2006/main" count="173" uniqueCount="94">
  <si>
    <t xml:space="preserve"> </t>
  </si>
  <si>
    <t>(000 0MITTED)</t>
  </si>
  <si>
    <t>CASH &amp; DUE</t>
  </si>
  <si>
    <t>TREASURY</t>
  </si>
  <si>
    <t>LOANS</t>
  </si>
  <si>
    <t>SUBORDINATED</t>
  </si>
  <si>
    <t>SURPLUS &amp;</t>
  </si>
  <si>
    <t>1b</t>
  </si>
  <si>
    <t>FROM</t>
  </si>
  <si>
    <t>RC-B 1</t>
  </si>
  <si>
    <t>&amp; AGENCY</t>
  </si>
  <si>
    <t>OTHER</t>
  </si>
  <si>
    <t>&amp;</t>
  </si>
  <si>
    <t>7</t>
  </si>
  <si>
    <t>8</t>
  </si>
  <si>
    <t>9</t>
  </si>
  <si>
    <t>10</t>
  </si>
  <si>
    <t>11</t>
  </si>
  <si>
    <t>TOTAL</t>
  </si>
  <si>
    <t>DEMAND</t>
  </si>
  <si>
    <t>SAVINGS &amp; TIME</t>
  </si>
  <si>
    <t>RC 14&amp;15</t>
  </si>
  <si>
    <t>16&amp;17</t>
  </si>
  <si>
    <t>NOTES &amp;</t>
  </si>
  <si>
    <t>CAPITAL</t>
  </si>
  <si>
    <t>RC 28</t>
  </si>
  <si>
    <t>RC 23 &amp; 24</t>
  </si>
  <si>
    <t>UNDIVIDED</t>
  </si>
  <si>
    <t>INSTITUTION</t>
  </si>
  <si>
    <t>input</t>
  </si>
  <si>
    <t>BANKS</t>
  </si>
  <si>
    <t>OBLIGATIONS</t>
  </si>
  <si>
    <t>SECURITIES</t>
  </si>
  <si>
    <t>DISCOUNTS</t>
  </si>
  <si>
    <t>ASSETS</t>
  </si>
  <si>
    <t>RESOURCES</t>
  </si>
  <si>
    <t>DEPOSITS</t>
  </si>
  <si>
    <t>LIABILITIES</t>
  </si>
  <si>
    <t>DEBENTURES</t>
  </si>
  <si>
    <t>STOCK</t>
  </si>
  <si>
    <t>PROFITS</t>
  </si>
  <si>
    <t>NORTHFIELD SAVINGS BANK</t>
  </si>
  <si>
    <t>PASSUMPSIC SAVINGS BANK</t>
  </si>
  <si>
    <t>WELLS RIVER SAVINGS BANK</t>
  </si>
  <si>
    <t xml:space="preserve">     SUB-TOTAL</t>
  </si>
  <si>
    <t>PEOPLES TR. CO. OF ST.ALBANS</t>
  </si>
  <si>
    <t>UNION BANK</t>
  </si>
  <si>
    <t>COMMUNITY NATIONAL BANK</t>
  </si>
  <si>
    <t>FIRST NAT'L BANK OF ORWELL</t>
  </si>
  <si>
    <t>NAT'L BANK OF MIDDLEBURY</t>
  </si>
  <si>
    <t xml:space="preserve">    SUB-TOTAL</t>
  </si>
  <si>
    <t>CONSOLIDATED COMPARATIVE STATEMENT</t>
  </si>
  <si>
    <t xml:space="preserve">                                                   </t>
  </si>
  <si>
    <t>TYPE</t>
  </si>
  <si>
    <t>OF</t>
  </si>
  <si>
    <t xml:space="preserve">    % OF TOTAL RESOURCES</t>
  </si>
  <si>
    <t>INCREASE (DECREASE)</t>
  </si>
  <si>
    <t xml:space="preserve">   % OF INCREASE (DECREASE)</t>
  </si>
  <si>
    <t>---------------</t>
  </si>
  <si>
    <t xml:space="preserve">   % OF TOTAL RESOURCES</t>
  </si>
  <si>
    <t xml:space="preserve">     </t>
  </si>
  <si>
    <t xml:space="preserve">   % OF INCREASE (DECREASE) </t>
  </si>
  <si>
    <t>LEDYARD NATIONAL BANK   (1)</t>
  </si>
  <si>
    <t xml:space="preserve"> (1) Financial data primarily derived from operations outside of the State of Vermont</t>
  </si>
  <si>
    <t>THE BANK OF BENNINGTON, FSB</t>
  </si>
  <si>
    <t>RC-B 5,6,7</t>
  </si>
  <si>
    <t>18,20,22</t>
  </si>
  <si>
    <t>TOTAL VT FINANCIAL INSTITUTIONS</t>
  </si>
  <si>
    <t xml:space="preserve"> TOTAL ALL FINANCIAL INSTITUTIONS</t>
  </si>
  <si>
    <t xml:space="preserve">OF CONDITION AND ANALYSIS OF </t>
  </si>
  <si>
    <t>CONDENSED STATEMENT OF CONDITION OF VERMONT AND NATIONAL</t>
  </si>
  <si>
    <t>FINANCIAL INSTITUTIONS DOMICILED IN THE STATE OF VERMONT</t>
  </si>
  <si>
    <t>(000 OMITTED)</t>
  </si>
  <si>
    <t>DOMICILED IN THE STATE OF VERMONT</t>
  </si>
  <si>
    <t>VERMONT AND NATIONAL FINANCIAL INSTITUTIONS</t>
  </si>
  <si>
    <t>BRATTLEBORO SAVINGS &amp; LOAN</t>
  </si>
  <si>
    <t>2 MUTUAL FINANCIAL INSTITUTIONS</t>
  </si>
  <si>
    <t>5 NATIONAL FINANCIAL INSTITUTIONS</t>
  </si>
  <si>
    <t>TOTAL 6 VERMONT FINANCIAL INSTITUTIONS</t>
  </si>
  <si>
    <t>TOTAL 11 VERMONT &amp; NATIONAL FINANCIAL INSTITUTIONS</t>
  </si>
  <si>
    <t>4 INVESTOR FINANCIAL INSTITUTIONS</t>
  </si>
  <si>
    <t>CONSOLIDATED STATEMENT 2020</t>
  </si>
  <si>
    <t>CONSOLIDATED STATEMENT 2021</t>
  </si>
  <si>
    <t>AS OF DECEMBER 31, 2021</t>
  </si>
  <si>
    <t>NON-INTEREST</t>
  </si>
  <si>
    <t>BEARING</t>
  </si>
  <si>
    <t>INTEREST</t>
  </si>
  <si>
    <t>RC-B 2</t>
  </si>
  <si>
    <t>RC-B 3</t>
  </si>
  <si>
    <t>RC-B 4</t>
  </si>
  <si>
    <t>RC 2c</t>
  </si>
  <si>
    <t>RC 1a</t>
  </si>
  <si>
    <t>RC 5&amp;6</t>
  </si>
  <si>
    <t>RC 3 (Fed Funds)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</si>
</sst>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164" formatCode="0_)"/>
    <numFmt numFmtId="165" formatCode="0.0%"/>
  </numFmts>
  <fonts count="9" x14ac:knownFonts="1">
    <font>
      <sz val="12"/>
      <name val="Times New Roman"/>
    </font>
    <font>
      <sz val="12"/>
      <name val="Arial"/>
      <family val="2"/>
    </font>
    <font>
      <b/>
      <sz val="14"/>
      <name val="Arial"/>
      <family val="2"/>
    </font>
    <font>
      <sz val="13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8"/>
      <name val="Arial"/>
      <family val="2"/>
    </font>
    <font>
      <sz val="8"/>
      <name val="Times New Roman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164" fontId="0" fillId="0" borderId="0"/>
  </cellStyleXfs>
  <cellXfs count="18">
    <xf numFmtId="164" fontId="0" fillId="0" borderId="0" xfId="0"/>
    <xf numFmtId="164" fontId="1" fillId="0" borderId="0" xfId="0" applyFont="1"/>
    <xf numFmtId="164" fontId="2" fillId="0" borderId="0" xfId="0" applyFont="1"/>
    <xf numFmtId="164" fontId="2" fillId="0" borderId="0" xfId="0" applyFont="1" applyAlignment="1">
      <alignment horizontal="right"/>
    </xf>
    <xf numFmtId="164" fontId="1" fillId="0" borderId="0" xfId="0" applyFont="1" applyAlignment="1">
      <alignment horizontal="center"/>
    </xf>
    <xf numFmtId="5" fontId="3" fillId="0" borderId="0" xfId="0" applyNumberFormat="1" applyFont="1" applyProtection="1"/>
    <xf numFmtId="165" fontId="3" fillId="0" borderId="0" xfId="0" applyNumberFormat="1" applyFont="1" applyProtection="1"/>
    <xf numFmtId="164" fontId="3" fillId="0" borderId="0" xfId="0" applyFont="1"/>
    <xf numFmtId="164" fontId="1" fillId="0" borderId="0" xfId="0" applyFont="1" applyAlignment="1">
      <alignment horizontal="left"/>
    </xf>
    <xf numFmtId="165" fontId="1" fillId="0" borderId="0" xfId="0" applyNumberFormat="1" applyFont="1" applyProtection="1"/>
    <xf numFmtId="164" fontId="4" fillId="0" borderId="0" xfId="0" applyFont="1"/>
    <xf numFmtId="164" fontId="4" fillId="0" borderId="0" xfId="0" applyFont="1" applyAlignment="1">
      <alignment horizontal="right"/>
    </xf>
    <xf numFmtId="5" fontId="1" fillId="0" borderId="0" xfId="0" applyNumberFormat="1" applyFont="1" applyProtection="1"/>
    <xf numFmtId="164" fontId="5" fillId="0" borderId="0" xfId="0" applyFont="1" applyAlignment="1">
      <alignment horizontal="left"/>
    </xf>
    <xf numFmtId="5" fontId="6" fillId="0" borderId="0" xfId="0" applyNumberFormat="1" applyFont="1" applyProtection="1"/>
    <xf numFmtId="164" fontId="1" fillId="0" borderId="0" xfId="0" applyFont="1" applyAlignment="1">
      <alignment horizontal="right"/>
    </xf>
    <xf numFmtId="164" fontId="7" fillId="0" borderId="0" xfId="0" applyFont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O53"/>
  <sheetViews>
    <sheetView showGridLines="0" defaultGridColor="0" topLeftCell="A31" colorId="22" zoomScale="80" zoomScaleNormal="80" workbookViewId="0">
      <selection activeCell="F4" sqref="F4"/>
    </sheetView>
  </sheetViews>
  <sheetFormatPr defaultColWidth="9.59765625" defaultRowHeight="15.6" x14ac:dyDescent="0.3"/>
  <cols>
    <col min="1" max="1" width="37.3984375" style="1" customWidth="1"/>
    <col min="2" max="7" width="13.59765625" style="1" customWidth="1"/>
    <col min="8" max="8" width="17.09765625" style="1" bestFit="1" customWidth="1"/>
    <col min="9" max="10" width="13.59765625" style="1" customWidth="1"/>
    <col min="11" max="11" width="16.09765625" style="1" bestFit="1" customWidth="1"/>
    <col min="12" max="15" width="13.59765625" style="1" customWidth="1"/>
  </cols>
  <sheetData>
    <row r="1" spans="1:15" ht="17.399999999999999" x14ac:dyDescent="0.3">
      <c r="B1" s="1" t="s">
        <v>0</v>
      </c>
      <c r="D1" s="2"/>
      <c r="E1" s="2"/>
      <c r="F1" s="3" t="s">
        <v>51</v>
      </c>
      <c r="G1" s="2" t="s">
        <v>69</v>
      </c>
      <c r="H1" s="2"/>
      <c r="I1" s="2"/>
      <c r="J1" s="2"/>
      <c r="K1" s="2"/>
      <c r="L1" s="2"/>
      <c r="N1" s="1" t="s">
        <v>52</v>
      </c>
    </row>
    <row r="2" spans="1:15" ht="17.399999999999999" x14ac:dyDescent="0.3">
      <c r="D2" s="2"/>
      <c r="E2" s="2"/>
      <c r="F2" s="3" t="s">
        <v>74</v>
      </c>
      <c r="G2" s="2" t="s">
        <v>73</v>
      </c>
      <c r="H2" s="2"/>
      <c r="I2" s="2"/>
      <c r="J2" s="2"/>
      <c r="K2" s="2"/>
      <c r="L2" s="2"/>
    </row>
    <row r="3" spans="1:15" ht="17.399999999999999" x14ac:dyDescent="0.3">
      <c r="F3" s="11" t="s">
        <v>83</v>
      </c>
      <c r="G3" s="10" t="s">
        <v>72</v>
      </c>
    </row>
    <row r="4" spans="1:15" x14ac:dyDescent="0.3">
      <c r="F4" s="15"/>
    </row>
    <row r="6" spans="1:15" x14ac:dyDescent="0.3">
      <c r="A6" s="4" t="s">
        <v>53</v>
      </c>
      <c r="B6" s="4" t="s">
        <v>2</v>
      </c>
      <c r="C6" s="4" t="s">
        <v>3</v>
      </c>
      <c r="E6" s="4" t="s">
        <v>4</v>
      </c>
      <c r="K6" s="4" t="s">
        <v>5</v>
      </c>
      <c r="M6" s="4" t="s">
        <v>6</v>
      </c>
    </row>
    <row r="7" spans="1:15" x14ac:dyDescent="0.3">
      <c r="A7" s="4" t="s">
        <v>54</v>
      </c>
      <c r="B7" s="4" t="s">
        <v>8</v>
      </c>
      <c r="C7" s="4" t="s">
        <v>10</v>
      </c>
      <c r="D7" s="4" t="s">
        <v>11</v>
      </c>
      <c r="E7" s="4" t="s">
        <v>12</v>
      </c>
      <c r="F7" s="4" t="s">
        <v>11</v>
      </c>
      <c r="G7" s="4" t="s">
        <v>18</v>
      </c>
      <c r="H7" s="4" t="s">
        <v>20</v>
      </c>
      <c r="I7" s="4" t="s">
        <v>19</v>
      </c>
      <c r="J7" s="4" t="s">
        <v>11</v>
      </c>
      <c r="K7" s="4" t="s">
        <v>23</v>
      </c>
      <c r="M7" s="4" t="s">
        <v>27</v>
      </c>
    </row>
    <row r="8" spans="1:15" x14ac:dyDescent="0.3">
      <c r="A8" s="4" t="s">
        <v>28</v>
      </c>
      <c r="B8" s="4" t="s">
        <v>30</v>
      </c>
      <c r="C8" s="4" t="s">
        <v>31</v>
      </c>
      <c r="D8" s="4" t="s">
        <v>32</v>
      </c>
      <c r="E8" s="4" t="s">
        <v>33</v>
      </c>
      <c r="F8" s="4" t="s">
        <v>34</v>
      </c>
      <c r="G8" s="4" t="s">
        <v>35</v>
      </c>
      <c r="H8" s="4" t="s">
        <v>36</v>
      </c>
      <c r="I8" s="4" t="s">
        <v>36</v>
      </c>
      <c r="J8" s="4" t="s">
        <v>37</v>
      </c>
      <c r="K8" s="4" t="s">
        <v>38</v>
      </c>
      <c r="L8" s="4" t="s">
        <v>24</v>
      </c>
      <c r="M8" s="4" t="s">
        <v>40</v>
      </c>
    </row>
    <row r="11" spans="1:15" x14ac:dyDescent="0.3">
      <c r="A11" s="4" t="str">
        <f>Condensed!A8</f>
        <v>2 MUTUAL FINANCIAL INSTITUTIONS</v>
      </c>
    </row>
    <row r="13" spans="1:15" ht="16.8" x14ac:dyDescent="0.3">
      <c r="A13" s="1" t="s">
        <v>82</v>
      </c>
      <c r="B13" s="5">
        <f>Condensed!D13</f>
        <v>119627</v>
      </c>
      <c r="C13" s="5">
        <f>Condensed!G13</f>
        <v>10885</v>
      </c>
      <c r="D13" s="5">
        <f>Condensed!M13</f>
        <v>61992</v>
      </c>
      <c r="E13" s="5">
        <f>Condensed!N13</f>
        <v>306990</v>
      </c>
      <c r="F13" s="5">
        <f>Condensed!U13</f>
        <v>26147</v>
      </c>
      <c r="G13" s="5">
        <f>SUM(B13:F13)</f>
        <v>525641</v>
      </c>
      <c r="H13" s="5">
        <f>Condensed!X13</f>
        <v>346310</v>
      </c>
      <c r="I13" s="5">
        <f>Condensed!W13</f>
        <v>123670</v>
      </c>
      <c r="J13" s="5">
        <f>Condensed!AB13</f>
        <v>11116</v>
      </c>
      <c r="K13" s="5">
        <f>Condensed!AC13</f>
        <v>0</v>
      </c>
      <c r="L13" s="5">
        <f>Condensed!AD13</f>
        <v>0</v>
      </c>
      <c r="M13" s="5">
        <f>Condensed!AG13</f>
        <v>44545</v>
      </c>
      <c r="N13" s="5">
        <f>SUM(H13:M13)</f>
        <v>525641</v>
      </c>
      <c r="O13" s="1" t="str">
        <f>IF(G13=N13,"GOOD","ERROR")</f>
        <v>GOOD</v>
      </c>
    </row>
    <row r="14" spans="1:15" ht="16.8" x14ac:dyDescent="0.3">
      <c r="A14" s="1" t="s">
        <v>55</v>
      </c>
      <c r="B14" s="6">
        <f>B13/$G13</f>
        <v>0.22758308427234558</v>
      </c>
      <c r="C14" s="6">
        <f t="shared" ref="C14:F14" si="0">C13/$G13</f>
        <v>2.0708049790636576E-2</v>
      </c>
      <c r="D14" s="6">
        <f t="shared" si="0"/>
        <v>0.11793600575297589</v>
      </c>
      <c r="E14" s="6">
        <f t="shared" si="0"/>
        <v>0.58402978458681876</v>
      </c>
      <c r="F14" s="6">
        <f t="shared" si="0"/>
        <v>4.9743075597223199E-2</v>
      </c>
      <c r="G14" s="6">
        <f t="shared" ref="G14:N14" si="1">G13/$G13</f>
        <v>1</v>
      </c>
      <c r="H14" s="6">
        <f t="shared" si="1"/>
        <v>0.65883369067481423</v>
      </c>
      <c r="I14" s="6">
        <f t="shared" si="1"/>
        <v>0.23527464562315345</v>
      </c>
      <c r="J14" s="6">
        <f t="shared" si="1"/>
        <v>2.1147513226707961E-2</v>
      </c>
      <c r="K14" s="6">
        <f t="shared" si="1"/>
        <v>0</v>
      </c>
      <c r="L14" s="6">
        <f t="shared" si="1"/>
        <v>0</v>
      </c>
      <c r="M14" s="6">
        <f t="shared" si="1"/>
        <v>8.4744150475324409E-2</v>
      </c>
      <c r="N14" s="6">
        <f t="shared" si="1"/>
        <v>1</v>
      </c>
    </row>
    <row r="15" spans="1:15" ht="16.8" x14ac:dyDescent="0.3">
      <c r="A15" s="1" t="s">
        <v>81</v>
      </c>
      <c r="B15" s="5">
        <v>88249</v>
      </c>
      <c r="C15" s="5">
        <v>0</v>
      </c>
      <c r="D15" s="5">
        <v>47537</v>
      </c>
      <c r="E15" s="5">
        <v>317809</v>
      </c>
      <c r="F15" s="5">
        <v>26005</v>
      </c>
      <c r="G15" s="5">
        <v>479600</v>
      </c>
      <c r="H15" s="5">
        <v>306851</v>
      </c>
      <c r="I15" s="5">
        <v>108312</v>
      </c>
      <c r="J15" s="5">
        <v>21081</v>
      </c>
      <c r="K15" s="5">
        <v>0</v>
      </c>
      <c r="L15" s="5">
        <v>0</v>
      </c>
      <c r="M15" s="5">
        <v>43356</v>
      </c>
      <c r="N15" s="5">
        <v>479600</v>
      </c>
      <c r="O15" s="1" t="str">
        <f>IF(G15=N15,"GOOD","ERROR")</f>
        <v>GOOD</v>
      </c>
    </row>
    <row r="16" spans="1:15" ht="16.8" x14ac:dyDescent="0.3">
      <c r="A16" s="1" t="s">
        <v>56</v>
      </c>
      <c r="B16" s="5">
        <f>B13-B15</f>
        <v>31378</v>
      </c>
      <c r="C16" s="5">
        <f>C13-C15</f>
        <v>10885</v>
      </c>
      <c r="D16" s="5">
        <f>D13-D15</f>
        <v>14455</v>
      </c>
      <c r="E16" s="5">
        <f>E13-E15</f>
        <v>-10819</v>
      </c>
      <c r="F16" s="5">
        <f>F13-F15</f>
        <v>142</v>
      </c>
      <c r="G16" s="5">
        <f>SUM(B16:F16)</f>
        <v>46041</v>
      </c>
      <c r="H16" s="5">
        <f t="shared" ref="H16:N16" si="2">H13-H15</f>
        <v>39459</v>
      </c>
      <c r="I16" s="5">
        <f t="shared" si="2"/>
        <v>15358</v>
      </c>
      <c r="J16" s="5">
        <f t="shared" si="2"/>
        <v>-9965</v>
      </c>
      <c r="K16" s="5">
        <f t="shared" si="2"/>
        <v>0</v>
      </c>
      <c r="L16" s="5">
        <f t="shared" si="2"/>
        <v>0</v>
      </c>
      <c r="M16" s="5">
        <f t="shared" si="2"/>
        <v>1189</v>
      </c>
      <c r="N16" s="5">
        <f t="shared" si="2"/>
        <v>46041</v>
      </c>
    </row>
    <row r="17" spans="1:15" ht="16.8" x14ac:dyDescent="0.3">
      <c r="A17" s="1" t="s">
        <v>57</v>
      </c>
      <c r="B17" s="6">
        <f t="shared" ref="B17:J17" si="3">B16/B15</f>
        <v>0.35556210268671601</v>
      </c>
      <c r="C17" s="6">
        <v>0</v>
      </c>
      <c r="D17" s="6">
        <f t="shared" si="3"/>
        <v>0.30407892799293185</v>
      </c>
      <c r="E17" s="6">
        <f t="shared" si="3"/>
        <v>-3.4042459464647006E-2</v>
      </c>
      <c r="F17" s="6">
        <f t="shared" si="3"/>
        <v>5.4604883676216114E-3</v>
      </c>
      <c r="G17" s="6">
        <f t="shared" si="3"/>
        <v>9.5998748957464547E-2</v>
      </c>
      <c r="H17" s="6">
        <f t="shared" si="3"/>
        <v>0.12859335638469485</v>
      </c>
      <c r="I17" s="6">
        <f t="shared" si="3"/>
        <v>0.14179407637196248</v>
      </c>
      <c r="J17" s="6">
        <f t="shared" si="3"/>
        <v>-0.47270053602770268</v>
      </c>
      <c r="K17" s="6">
        <v>0</v>
      </c>
      <c r="L17" s="6">
        <v>0</v>
      </c>
      <c r="M17" s="6">
        <f>M16/M15</f>
        <v>2.7424116615923977E-2</v>
      </c>
      <c r="N17" s="6">
        <f>N16/N15</f>
        <v>9.5998748957464547E-2</v>
      </c>
    </row>
    <row r="18" spans="1:15" ht="16.8" x14ac:dyDescent="0.3">
      <c r="A18" s="4" t="s">
        <v>58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5" ht="16.8" x14ac:dyDescent="0.3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5" ht="16.8" x14ac:dyDescent="0.3">
      <c r="A20" s="4" t="str">
        <f>Condensed!A16</f>
        <v>4 INVESTOR FINANCIAL INSTITUTIONS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1:15" ht="16.8" x14ac:dyDescent="0.3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5" ht="16.8" x14ac:dyDescent="0.3">
      <c r="A22" s="1" t="s">
        <v>82</v>
      </c>
      <c r="B22" s="5">
        <f>Condensed!D23</f>
        <v>349480</v>
      </c>
      <c r="C22" s="5">
        <f>Condensed!G23</f>
        <v>283823</v>
      </c>
      <c r="D22" s="5">
        <f>Condensed!M23</f>
        <v>567356</v>
      </c>
      <c r="E22" s="5">
        <f>Condensed!N23</f>
        <v>2464253</v>
      </c>
      <c r="F22" s="5">
        <f>Condensed!U23</f>
        <v>203485</v>
      </c>
      <c r="G22" s="5">
        <f>SUM(B22:F22)</f>
        <v>3868397</v>
      </c>
      <c r="H22" s="5">
        <f>Condensed!X23</f>
        <v>2512530</v>
      </c>
      <c r="I22" s="5">
        <f>Condensed!W23</f>
        <v>834108</v>
      </c>
      <c r="J22" s="5">
        <f>Condensed!AB23</f>
        <v>136720</v>
      </c>
      <c r="K22" s="5">
        <f>Condensed!AC23</f>
        <v>0</v>
      </c>
      <c r="L22" s="5">
        <f>Condensed!AD23</f>
        <v>486</v>
      </c>
      <c r="M22" s="5">
        <f>Condensed!AG23</f>
        <v>384553</v>
      </c>
      <c r="N22" s="5">
        <f>SUM(H22:M22)</f>
        <v>3868397</v>
      </c>
      <c r="O22" s="1" t="str">
        <f>IF(G22=N22,"GOOD","ERROR")</f>
        <v>GOOD</v>
      </c>
    </row>
    <row r="23" spans="1:15" ht="16.8" x14ac:dyDescent="0.3">
      <c r="A23" s="1" t="s">
        <v>59</v>
      </c>
      <c r="B23" s="6">
        <f t="shared" ref="B23:N23" si="4">B22/$G22</f>
        <v>9.0342330427823206E-2</v>
      </c>
      <c r="C23" s="6">
        <f t="shared" si="4"/>
        <v>7.3369667073984388E-2</v>
      </c>
      <c r="D23" s="6">
        <f t="shared" si="4"/>
        <v>0.14666436769545629</v>
      </c>
      <c r="E23" s="6">
        <f t="shared" si="4"/>
        <v>0.63702174311478377</v>
      </c>
      <c r="F23" s="6">
        <f t="shared" si="4"/>
        <v>5.2601891687952401E-2</v>
      </c>
      <c r="G23" s="6">
        <f t="shared" si="4"/>
        <v>1</v>
      </c>
      <c r="H23" s="6">
        <f t="shared" si="4"/>
        <v>0.64950158941804581</v>
      </c>
      <c r="I23" s="6">
        <f t="shared" si="4"/>
        <v>0.21562109576654104</v>
      </c>
      <c r="J23" s="6">
        <f t="shared" si="4"/>
        <v>3.5342804784514105E-2</v>
      </c>
      <c r="K23" s="6">
        <f t="shared" si="4"/>
        <v>0</v>
      </c>
      <c r="L23" s="6">
        <f t="shared" si="4"/>
        <v>1.2563343421060456E-4</v>
      </c>
      <c r="M23" s="6">
        <f t="shared" si="4"/>
        <v>9.9408876596688497E-2</v>
      </c>
      <c r="N23" s="6">
        <f t="shared" si="4"/>
        <v>1</v>
      </c>
    </row>
    <row r="24" spans="1:15" ht="16.8" x14ac:dyDescent="0.3">
      <c r="A24" s="1" t="s">
        <v>81</v>
      </c>
      <c r="B24" s="5">
        <v>387604</v>
      </c>
      <c r="C24" s="5">
        <v>183025</v>
      </c>
      <c r="D24" s="5">
        <v>271828</v>
      </c>
      <c r="E24" s="5">
        <v>2428373</v>
      </c>
      <c r="F24" s="5">
        <v>187482</v>
      </c>
      <c r="G24" s="5">
        <v>3458312</v>
      </c>
      <c r="H24" s="5">
        <v>1853241</v>
      </c>
      <c r="I24" s="5">
        <v>1115501</v>
      </c>
      <c r="J24" s="5">
        <v>137158</v>
      </c>
      <c r="K24" s="5">
        <v>0</v>
      </c>
      <c r="L24" s="5">
        <v>487</v>
      </c>
      <c r="M24" s="5">
        <v>351925</v>
      </c>
      <c r="N24" s="5">
        <v>3458312</v>
      </c>
      <c r="O24" s="1" t="str">
        <f>IF(G24=N24,"GOOD","ERROR")</f>
        <v>GOOD</v>
      </c>
    </row>
    <row r="25" spans="1:15" ht="16.8" x14ac:dyDescent="0.3">
      <c r="A25" s="1" t="s">
        <v>56</v>
      </c>
      <c r="B25" s="5">
        <f>B22-B24</f>
        <v>-38124</v>
      </c>
      <c r="C25" s="5">
        <f>C22-C24</f>
        <v>100798</v>
      </c>
      <c r="D25" s="5">
        <f>D22-D24</f>
        <v>295528</v>
      </c>
      <c r="E25" s="5">
        <f>E22-E24</f>
        <v>35880</v>
      </c>
      <c r="F25" s="5">
        <f>F22-F24</f>
        <v>16003</v>
      </c>
      <c r="G25" s="5">
        <f>SUM(B25:F25)</f>
        <v>410085</v>
      </c>
      <c r="H25" s="5">
        <f t="shared" ref="H25:N25" si="5">H22-H24</f>
        <v>659289</v>
      </c>
      <c r="I25" s="5">
        <f t="shared" si="5"/>
        <v>-281393</v>
      </c>
      <c r="J25" s="5">
        <f t="shared" si="5"/>
        <v>-438</v>
      </c>
      <c r="K25" s="5">
        <f t="shared" si="5"/>
        <v>0</v>
      </c>
      <c r="L25" s="5">
        <f t="shared" si="5"/>
        <v>-1</v>
      </c>
      <c r="M25" s="5">
        <f t="shared" si="5"/>
        <v>32628</v>
      </c>
      <c r="N25" s="5">
        <f t="shared" si="5"/>
        <v>410085</v>
      </c>
    </row>
    <row r="26" spans="1:15" ht="16.8" x14ac:dyDescent="0.3">
      <c r="A26" s="1" t="s">
        <v>57</v>
      </c>
      <c r="B26" s="6">
        <f t="shared" ref="B26:J26" si="6">B25/B24</f>
        <v>-9.8358118079276788E-2</v>
      </c>
      <c r="C26" s="6">
        <f t="shared" si="6"/>
        <v>0.55073350635159135</v>
      </c>
      <c r="D26" s="6">
        <f t="shared" si="6"/>
        <v>1.0871874862045117</v>
      </c>
      <c r="E26" s="6">
        <f t="shared" si="6"/>
        <v>1.4775324878015033E-2</v>
      </c>
      <c r="F26" s="6">
        <f t="shared" si="6"/>
        <v>8.5357527655988308E-2</v>
      </c>
      <c r="G26" s="6">
        <f t="shared" si="6"/>
        <v>0.11857952665924879</v>
      </c>
      <c r="H26" s="6">
        <f t="shared" si="6"/>
        <v>0.35574919829638996</v>
      </c>
      <c r="I26" s="6">
        <f t="shared" si="6"/>
        <v>-0.25225705759116307</v>
      </c>
      <c r="J26" s="6">
        <f t="shared" si="6"/>
        <v>-3.1933973957042243E-3</v>
      </c>
      <c r="K26" s="6">
        <v>0</v>
      </c>
      <c r="L26" s="6">
        <f>L25/L24</f>
        <v>-2.0533880903490761E-3</v>
      </c>
      <c r="M26" s="6">
        <f>M25/M24</f>
        <v>9.2712935994885268E-2</v>
      </c>
      <c r="N26" s="6">
        <f>N25/N24</f>
        <v>0.11857952665924879</v>
      </c>
    </row>
    <row r="27" spans="1:15" ht="16.8" x14ac:dyDescent="0.3">
      <c r="A27" s="4" t="s">
        <v>58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5" ht="16.8" x14ac:dyDescent="0.3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5" ht="16.8" x14ac:dyDescent="0.3">
      <c r="A29" s="1" t="s">
        <v>78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pans="1:15" ht="16.8" x14ac:dyDescent="0.3">
      <c r="A30" s="1" t="s">
        <v>0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5" ht="16.8" x14ac:dyDescent="0.3">
      <c r="A31" s="1" t="s">
        <v>82</v>
      </c>
      <c r="B31" s="5">
        <f>B13+B22</f>
        <v>469107</v>
      </c>
      <c r="C31" s="5">
        <f>C13+C22</f>
        <v>294708</v>
      </c>
      <c r="D31" s="5">
        <f>D13+D22</f>
        <v>629348</v>
      </c>
      <c r="E31" s="5">
        <f>E13+E22</f>
        <v>2771243</v>
      </c>
      <c r="F31" s="5">
        <f>F13+F22</f>
        <v>229632</v>
      </c>
      <c r="G31" s="5">
        <f>SUM(B31:F31)</f>
        <v>4394038</v>
      </c>
      <c r="H31" s="5">
        <f t="shared" ref="H31:M31" si="7">H13+H22</f>
        <v>2858840</v>
      </c>
      <c r="I31" s="5">
        <f t="shared" si="7"/>
        <v>957778</v>
      </c>
      <c r="J31" s="5">
        <f t="shared" si="7"/>
        <v>147836</v>
      </c>
      <c r="K31" s="5">
        <f t="shared" si="7"/>
        <v>0</v>
      </c>
      <c r="L31" s="5">
        <f t="shared" si="7"/>
        <v>486</v>
      </c>
      <c r="M31" s="5">
        <f t="shared" si="7"/>
        <v>429098</v>
      </c>
      <c r="N31" s="5">
        <f>SUM(H31:M31)</f>
        <v>4394038</v>
      </c>
      <c r="O31" s="1" t="str">
        <f>IF(G31=N31,"GOOD","ERROR")</f>
        <v>GOOD</v>
      </c>
    </row>
    <row r="32" spans="1:15" ht="16.8" x14ac:dyDescent="0.3">
      <c r="A32" s="1" t="s">
        <v>59</v>
      </c>
      <c r="B32" s="6">
        <f t="shared" ref="B32:N32" si="8">B31/$G31</f>
        <v>0.10675988691950319</v>
      </c>
      <c r="C32" s="6">
        <f t="shared" si="8"/>
        <v>6.7069970719415714E-2</v>
      </c>
      <c r="D32" s="6">
        <f t="shared" si="8"/>
        <v>0.14322770991056519</v>
      </c>
      <c r="E32" s="6">
        <f t="shared" si="8"/>
        <v>0.6306825293727546</v>
      </c>
      <c r="F32" s="6">
        <f t="shared" si="8"/>
        <v>5.2259903077761273E-2</v>
      </c>
      <c r="G32" s="6">
        <f t="shared" si="8"/>
        <v>1</v>
      </c>
      <c r="H32" s="6">
        <f t="shared" si="8"/>
        <v>0.65061795095991437</v>
      </c>
      <c r="I32" s="6">
        <f t="shared" si="8"/>
        <v>0.21797217047280884</v>
      </c>
      <c r="J32" s="6">
        <f t="shared" si="8"/>
        <v>3.3644679449745314E-2</v>
      </c>
      <c r="K32" s="6">
        <f t="shared" si="8"/>
        <v>0</v>
      </c>
      <c r="L32" s="6">
        <f t="shared" si="8"/>
        <v>1.1060441443610638E-4</v>
      </c>
      <c r="M32" s="6">
        <f t="shared" si="8"/>
        <v>9.7654594703095426E-2</v>
      </c>
      <c r="N32" s="6">
        <f t="shared" si="8"/>
        <v>1</v>
      </c>
      <c r="O32" s="9"/>
    </row>
    <row r="33" spans="1:15" ht="16.8" x14ac:dyDescent="0.3">
      <c r="A33" s="1" t="s">
        <v>81</v>
      </c>
      <c r="B33" s="5">
        <f>B15+B24</f>
        <v>475853</v>
      </c>
      <c r="C33" s="5">
        <f>C15+C24</f>
        <v>183025</v>
      </c>
      <c r="D33" s="5">
        <f>D15+D24</f>
        <v>319365</v>
      </c>
      <c r="E33" s="5">
        <f>E15+E24</f>
        <v>2746182</v>
      </c>
      <c r="F33" s="5">
        <f>F15+F24</f>
        <v>213487</v>
      </c>
      <c r="G33" s="5">
        <f>SUM(B33:F33)</f>
        <v>3937912</v>
      </c>
      <c r="H33" s="5">
        <f t="shared" ref="H33:M33" si="9">H15+H24</f>
        <v>2160092</v>
      </c>
      <c r="I33" s="5">
        <f t="shared" si="9"/>
        <v>1223813</v>
      </c>
      <c r="J33" s="5">
        <f t="shared" si="9"/>
        <v>158239</v>
      </c>
      <c r="K33" s="5">
        <f t="shared" si="9"/>
        <v>0</v>
      </c>
      <c r="L33" s="5">
        <f t="shared" si="9"/>
        <v>487</v>
      </c>
      <c r="M33" s="5">
        <f t="shared" si="9"/>
        <v>395281</v>
      </c>
      <c r="N33" s="5">
        <f>SUM(H33:M33)</f>
        <v>3937912</v>
      </c>
      <c r="O33" s="1" t="str">
        <f>IF(G33=N33,"GOOD","ERROR")</f>
        <v>GOOD</v>
      </c>
    </row>
    <row r="34" spans="1:15" ht="16.8" x14ac:dyDescent="0.3">
      <c r="A34" s="1" t="s">
        <v>56</v>
      </c>
      <c r="B34" s="5">
        <f>B31-B33</f>
        <v>-6746</v>
      </c>
      <c r="C34" s="5">
        <f>C31-C33</f>
        <v>111683</v>
      </c>
      <c r="D34" s="5">
        <f>D31-D33</f>
        <v>309983</v>
      </c>
      <c r="E34" s="5">
        <f>E31-E33</f>
        <v>25061</v>
      </c>
      <c r="F34" s="5">
        <f>F31-F33</f>
        <v>16145</v>
      </c>
      <c r="G34" s="5">
        <f>SUM(B34:F34)</f>
        <v>456126</v>
      </c>
      <c r="H34" s="5">
        <f t="shared" ref="H34:N34" si="10">H31-H33</f>
        <v>698748</v>
      </c>
      <c r="I34" s="5">
        <f t="shared" si="10"/>
        <v>-266035</v>
      </c>
      <c r="J34" s="5">
        <f t="shared" si="10"/>
        <v>-10403</v>
      </c>
      <c r="K34" s="5">
        <f t="shared" si="10"/>
        <v>0</v>
      </c>
      <c r="L34" s="5">
        <f t="shared" si="10"/>
        <v>-1</v>
      </c>
      <c r="M34" s="5">
        <f t="shared" si="10"/>
        <v>33817</v>
      </c>
      <c r="N34" s="5">
        <f t="shared" si="10"/>
        <v>456126</v>
      </c>
    </row>
    <row r="35" spans="1:15" ht="16.8" x14ac:dyDescent="0.3">
      <c r="A35" s="1" t="s">
        <v>57</v>
      </c>
      <c r="B35" s="6">
        <f t="shared" ref="B35:J35" si="11">B34/B33</f>
        <v>-1.4176646989721617E-2</v>
      </c>
      <c r="C35" s="6">
        <f t="shared" si="11"/>
        <v>0.61020625597595957</v>
      </c>
      <c r="D35" s="6">
        <f t="shared" si="11"/>
        <v>0.97062295492618167</v>
      </c>
      <c r="E35" s="6">
        <f t="shared" si="11"/>
        <v>9.1257607835168973E-3</v>
      </c>
      <c r="F35" s="6">
        <f t="shared" si="11"/>
        <v>7.562521371324718E-2</v>
      </c>
      <c r="G35" s="6">
        <f t="shared" si="11"/>
        <v>0.11582940400902814</v>
      </c>
      <c r="H35" s="6">
        <f t="shared" si="11"/>
        <v>0.32348066656420188</v>
      </c>
      <c r="I35" s="6">
        <f t="shared" si="11"/>
        <v>-0.21738206735833007</v>
      </c>
      <c r="J35" s="6">
        <f t="shared" si="11"/>
        <v>-6.574232648082963E-2</v>
      </c>
      <c r="K35" s="6">
        <v>0</v>
      </c>
      <c r="L35" s="6">
        <f>L34/L33</f>
        <v>-2.0533880903490761E-3</v>
      </c>
      <c r="M35" s="6">
        <f>M34/M33</f>
        <v>8.5551797328988738E-2</v>
      </c>
      <c r="N35" s="6">
        <f>N34/N33</f>
        <v>0.11582940400902814</v>
      </c>
      <c r="O35" s="9"/>
    </row>
    <row r="36" spans="1:15" ht="16.8" x14ac:dyDescent="0.3">
      <c r="A36" s="4" t="s">
        <v>58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5" ht="16.8" x14ac:dyDescent="0.3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</row>
    <row r="38" spans="1:15" ht="16.8" x14ac:dyDescent="0.3">
      <c r="A38" s="8" t="str">
        <f>Condensed!A28</f>
        <v>5 NATIONAL FINANCIAL INSTITUTIONS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1:15" ht="16.8" x14ac:dyDescent="0.3">
      <c r="A39" s="1" t="s">
        <v>60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1:15" ht="16.8" x14ac:dyDescent="0.3">
      <c r="A40" s="1" t="s">
        <v>82</v>
      </c>
      <c r="B40" s="5">
        <f>Condensed!D36</f>
        <v>244752</v>
      </c>
      <c r="C40" s="5">
        <f>Condensed!G36</f>
        <v>166839</v>
      </c>
      <c r="D40" s="5">
        <f>Condensed!M36</f>
        <v>669190</v>
      </c>
      <c r="E40" s="5">
        <f>Condensed!N36</f>
        <v>1738660</v>
      </c>
      <c r="F40" s="5">
        <f>Condensed!U36</f>
        <v>144730</v>
      </c>
      <c r="G40" s="5">
        <f>SUM(B40:F40)</f>
        <v>2964171</v>
      </c>
      <c r="H40" s="5">
        <f>Condensed!X36</f>
        <v>2155495</v>
      </c>
      <c r="I40" s="5">
        <f>Condensed!W36</f>
        <v>407026</v>
      </c>
      <c r="J40" s="5">
        <f>Condensed!AB36</f>
        <v>131227</v>
      </c>
      <c r="K40" s="5">
        <f>Condensed!AC36</f>
        <v>0</v>
      </c>
      <c r="L40" s="5">
        <f>Condensed!AD36</f>
        <v>1848</v>
      </c>
      <c r="M40" s="5">
        <f>Condensed!AG36</f>
        <v>268575</v>
      </c>
      <c r="N40" s="5">
        <f>SUM(H40:M40)</f>
        <v>2964171</v>
      </c>
      <c r="O40" s="1" t="str">
        <f>IF(G40=N40,"GOOD","ERROR")</f>
        <v>GOOD</v>
      </c>
    </row>
    <row r="41" spans="1:15" ht="16.8" x14ac:dyDescent="0.3">
      <c r="A41" s="1" t="s">
        <v>59</v>
      </c>
      <c r="B41" s="6">
        <f t="shared" ref="B41:N41" si="12">B40/$G40</f>
        <v>8.2570135123783348E-2</v>
      </c>
      <c r="C41" s="6">
        <f t="shared" si="12"/>
        <v>5.6285214314558775E-2</v>
      </c>
      <c r="D41" s="6">
        <f t="shared" si="12"/>
        <v>0.22575957999724036</v>
      </c>
      <c r="E41" s="6">
        <f t="shared" si="12"/>
        <v>0.58655860272568616</v>
      </c>
      <c r="F41" s="6">
        <f t="shared" si="12"/>
        <v>4.8826467838731298E-2</v>
      </c>
      <c r="G41" s="6">
        <f t="shared" si="12"/>
        <v>1</v>
      </c>
      <c r="H41" s="6">
        <f t="shared" si="12"/>
        <v>0.72718308086814154</v>
      </c>
      <c r="I41" s="6">
        <f t="shared" si="12"/>
        <v>0.13731528983989116</v>
      </c>
      <c r="J41" s="6">
        <f t="shared" si="12"/>
        <v>4.4271062634375684E-2</v>
      </c>
      <c r="K41" s="6">
        <f t="shared" si="12"/>
        <v>0</v>
      </c>
      <c r="L41" s="6">
        <f t="shared" si="12"/>
        <v>6.2344581334882506E-4</v>
      </c>
      <c r="M41" s="6">
        <f t="shared" si="12"/>
        <v>9.0607120844242786E-2</v>
      </c>
      <c r="N41" s="6">
        <f t="shared" si="12"/>
        <v>1</v>
      </c>
    </row>
    <row r="42" spans="1:15" ht="16.8" x14ac:dyDescent="0.3">
      <c r="A42" s="1" t="s">
        <v>81</v>
      </c>
      <c r="B42" s="5">
        <v>295707</v>
      </c>
      <c r="C42" s="5">
        <v>64850</v>
      </c>
      <c r="D42" s="5">
        <v>417546</v>
      </c>
      <c r="E42" s="5">
        <v>1752157</v>
      </c>
      <c r="F42" s="5">
        <v>134959</v>
      </c>
      <c r="G42" s="5">
        <v>2665219</v>
      </c>
      <c r="H42" s="5">
        <v>1909138</v>
      </c>
      <c r="I42" s="5">
        <v>354217</v>
      </c>
      <c r="J42" s="5">
        <v>150167</v>
      </c>
      <c r="K42" s="5">
        <v>0</v>
      </c>
      <c r="L42" s="5">
        <v>1848</v>
      </c>
      <c r="M42" s="5">
        <v>249849</v>
      </c>
      <c r="N42" s="5">
        <v>2665219</v>
      </c>
      <c r="O42" s="1" t="str">
        <f>IF(G42=N42,"GOOD","ERROR")</f>
        <v>GOOD</v>
      </c>
    </row>
    <row r="43" spans="1:15" ht="16.8" x14ac:dyDescent="0.3">
      <c r="A43" s="1" t="s">
        <v>56</v>
      </c>
      <c r="B43" s="5">
        <f>B40-B42</f>
        <v>-50955</v>
      </c>
      <c r="C43" s="5">
        <f>C40-C42</f>
        <v>101989</v>
      </c>
      <c r="D43" s="5">
        <f>D40-D42</f>
        <v>251644</v>
      </c>
      <c r="E43" s="5">
        <f>E40-E42</f>
        <v>-13497</v>
      </c>
      <c r="F43" s="5">
        <f>F40-F42</f>
        <v>9771</v>
      </c>
      <c r="G43" s="5">
        <f>SUM(B43:F43)</f>
        <v>298952</v>
      </c>
      <c r="H43" s="5">
        <f t="shared" ref="H43:N43" si="13">H40-H42</f>
        <v>246357</v>
      </c>
      <c r="I43" s="5">
        <f t="shared" si="13"/>
        <v>52809</v>
      </c>
      <c r="J43" s="5">
        <f t="shared" si="13"/>
        <v>-18940</v>
      </c>
      <c r="K43" s="5">
        <f t="shared" si="13"/>
        <v>0</v>
      </c>
      <c r="L43" s="5">
        <f t="shared" si="13"/>
        <v>0</v>
      </c>
      <c r="M43" s="5">
        <f t="shared" si="13"/>
        <v>18726</v>
      </c>
      <c r="N43" s="5">
        <f t="shared" si="13"/>
        <v>298952</v>
      </c>
    </row>
    <row r="44" spans="1:15" ht="16.8" x14ac:dyDescent="0.3">
      <c r="A44" s="1" t="s">
        <v>61</v>
      </c>
      <c r="B44" s="6">
        <f t="shared" ref="B44:J44" si="14">B43/B42</f>
        <v>-0.17231583966561495</v>
      </c>
      <c r="C44" s="6">
        <f t="shared" si="14"/>
        <v>1.5726908249807248</v>
      </c>
      <c r="D44" s="6">
        <f t="shared" si="14"/>
        <v>0.60267371738682685</v>
      </c>
      <c r="E44" s="6">
        <f t="shared" si="14"/>
        <v>-7.7030768361510986E-3</v>
      </c>
      <c r="F44" s="6">
        <f t="shared" si="14"/>
        <v>7.2399765854815168E-2</v>
      </c>
      <c r="G44" s="6">
        <f t="shared" si="14"/>
        <v>0.11216789314499109</v>
      </c>
      <c r="H44" s="6">
        <f t="shared" si="14"/>
        <v>0.12904095984679997</v>
      </c>
      <c r="I44" s="6">
        <f t="shared" si="14"/>
        <v>0.1490865768723692</v>
      </c>
      <c r="J44" s="6">
        <f t="shared" si="14"/>
        <v>-0.12612624611266124</v>
      </c>
      <c r="K44" s="6">
        <v>0</v>
      </c>
      <c r="L44" s="6">
        <f>L43/L42</f>
        <v>0</v>
      </c>
      <c r="M44" s="6">
        <f>M43/M42</f>
        <v>7.4949269358692644E-2</v>
      </c>
      <c r="N44" s="6">
        <f>N43/N42</f>
        <v>0.11216789314499109</v>
      </c>
    </row>
    <row r="45" spans="1:15" ht="16.8" x14ac:dyDescent="0.3">
      <c r="A45" s="4" t="s">
        <v>58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1:15" ht="16.8" x14ac:dyDescent="0.3"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</row>
    <row r="47" spans="1:15" ht="16.8" x14ac:dyDescent="0.3">
      <c r="A47" s="1" t="s">
        <v>79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1:15" ht="16.8" x14ac:dyDescent="0.3">
      <c r="B48" s="7"/>
      <c r="C48" s="7" t="s">
        <v>0</v>
      </c>
      <c r="D48" s="7" t="s">
        <v>0</v>
      </c>
      <c r="E48" s="7"/>
      <c r="F48" s="7"/>
      <c r="G48" s="7"/>
      <c r="H48" s="7"/>
      <c r="I48" s="7"/>
      <c r="J48" s="7"/>
      <c r="K48" s="7"/>
      <c r="L48" s="7"/>
      <c r="M48" s="7"/>
      <c r="N48" s="7" t="s">
        <v>0</v>
      </c>
    </row>
    <row r="49" spans="1:15" ht="16.8" x14ac:dyDescent="0.3">
      <c r="A49" s="1" t="s">
        <v>82</v>
      </c>
      <c r="B49" s="5">
        <f>B31+B40</f>
        <v>713859</v>
      </c>
      <c r="C49" s="5">
        <f>C31+C40</f>
        <v>461547</v>
      </c>
      <c r="D49" s="5">
        <f>D31+D40</f>
        <v>1298538</v>
      </c>
      <c r="E49" s="5">
        <f>E31+E40</f>
        <v>4509903</v>
      </c>
      <c r="F49" s="5">
        <f>F31+F40</f>
        <v>374362</v>
      </c>
      <c r="G49" s="5">
        <f>SUM(B49:F49)</f>
        <v>7358209</v>
      </c>
      <c r="H49" s="5">
        <f t="shared" ref="H49:M49" si="15">H31+H40</f>
        <v>5014335</v>
      </c>
      <c r="I49" s="5">
        <f t="shared" si="15"/>
        <v>1364804</v>
      </c>
      <c r="J49" s="5">
        <f t="shared" si="15"/>
        <v>279063</v>
      </c>
      <c r="K49" s="5">
        <f t="shared" si="15"/>
        <v>0</v>
      </c>
      <c r="L49" s="5">
        <f t="shared" si="15"/>
        <v>2334</v>
      </c>
      <c r="M49" s="5">
        <f t="shared" si="15"/>
        <v>697673</v>
      </c>
      <c r="N49" s="5">
        <f>SUM(H49:M49)</f>
        <v>7358209</v>
      </c>
      <c r="O49" s="1" t="str">
        <f>IF(G49=N49,"GOOD","ERROR")</f>
        <v>GOOD</v>
      </c>
    </row>
    <row r="50" spans="1:15" ht="16.8" x14ac:dyDescent="0.3">
      <c r="A50" s="1" t="s">
        <v>59</v>
      </c>
      <c r="B50" s="6">
        <f t="shared" ref="B50:N50" si="16">B49/$G49</f>
        <v>9.7015319896458493E-2</v>
      </c>
      <c r="C50" s="6">
        <f t="shared" si="16"/>
        <v>6.2725453979358289E-2</v>
      </c>
      <c r="D50" s="6">
        <f t="shared" si="16"/>
        <v>0.17647473726283122</v>
      </c>
      <c r="E50" s="6">
        <f t="shared" si="16"/>
        <v>0.61290770620948654</v>
      </c>
      <c r="F50" s="6">
        <f t="shared" si="16"/>
        <v>5.0876782651865418E-2</v>
      </c>
      <c r="G50" s="6">
        <f t="shared" si="16"/>
        <v>1</v>
      </c>
      <c r="H50" s="6">
        <f t="shared" si="16"/>
        <v>0.68146134473755771</v>
      </c>
      <c r="I50" s="6">
        <f t="shared" si="16"/>
        <v>0.18548046134596069</v>
      </c>
      <c r="J50" s="6">
        <f t="shared" si="16"/>
        <v>3.7925397335139568E-2</v>
      </c>
      <c r="K50" s="6">
        <f t="shared" si="16"/>
        <v>0</v>
      </c>
      <c r="L50" s="6">
        <f t="shared" si="16"/>
        <v>3.1719675263369116E-4</v>
      </c>
      <c r="M50" s="6">
        <f t="shared" si="16"/>
        <v>9.4815599828708311E-2</v>
      </c>
      <c r="N50" s="6">
        <f t="shared" si="16"/>
        <v>1</v>
      </c>
    </row>
    <row r="51" spans="1:15" ht="16.8" x14ac:dyDescent="0.3">
      <c r="A51" s="1" t="s">
        <v>81</v>
      </c>
      <c r="B51" s="5">
        <f>B33+B42</f>
        <v>771560</v>
      </c>
      <c r="C51" s="5">
        <f>C33+C42</f>
        <v>247875</v>
      </c>
      <c r="D51" s="5">
        <f>D33+D42</f>
        <v>736911</v>
      </c>
      <c r="E51" s="5">
        <f>E33+E42</f>
        <v>4498339</v>
      </c>
      <c r="F51" s="5">
        <f>F33+F42</f>
        <v>348446</v>
      </c>
      <c r="G51" s="5">
        <f>SUM(B51:F51)</f>
        <v>6603131</v>
      </c>
      <c r="H51" s="5">
        <f t="shared" ref="H51:M51" si="17">H33+H42</f>
        <v>4069230</v>
      </c>
      <c r="I51" s="5">
        <f t="shared" si="17"/>
        <v>1578030</v>
      </c>
      <c r="J51" s="5">
        <f t="shared" si="17"/>
        <v>308406</v>
      </c>
      <c r="K51" s="5">
        <f t="shared" si="17"/>
        <v>0</v>
      </c>
      <c r="L51" s="5">
        <f t="shared" si="17"/>
        <v>2335</v>
      </c>
      <c r="M51" s="5">
        <f t="shared" si="17"/>
        <v>645130</v>
      </c>
      <c r="N51" s="5">
        <f>SUM(H51:M51)</f>
        <v>6603131</v>
      </c>
      <c r="O51" s="1" t="str">
        <f>IF(G51=N51,"GOOD","ERROR")</f>
        <v>GOOD</v>
      </c>
    </row>
    <row r="52" spans="1:15" ht="16.8" x14ac:dyDescent="0.3">
      <c r="A52" s="1" t="s">
        <v>56</v>
      </c>
      <c r="B52" s="5">
        <f>B49-B51</f>
        <v>-57701</v>
      </c>
      <c r="C52" s="5">
        <f>C49-C51</f>
        <v>213672</v>
      </c>
      <c r="D52" s="5">
        <f>D49-D51</f>
        <v>561627</v>
      </c>
      <c r="E52" s="5">
        <f>E49-E51</f>
        <v>11564</v>
      </c>
      <c r="F52" s="5">
        <f>F49-F51</f>
        <v>25916</v>
      </c>
      <c r="G52" s="5">
        <f>SUM(B52:F52)</f>
        <v>755078</v>
      </c>
      <c r="H52" s="5">
        <f t="shared" ref="H52:N52" si="18">H49-H51</f>
        <v>945105</v>
      </c>
      <c r="I52" s="5">
        <f t="shared" si="18"/>
        <v>-213226</v>
      </c>
      <c r="J52" s="5">
        <f t="shared" si="18"/>
        <v>-29343</v>
      </c>
      <c r="K52" s="5">
        <f t="shared" si="18"/>
        <v>0</v>
      </c>
      <c r="L52" s="5">
        <f t="shared" si="18"/>
        <v>-1</v>
      </c>
      <c r="M52" s="5">
        <f t="shared" si="18"/>
        <v>52543</v>
      </c>
      <c r="N52" s="5">
        <f t="shared" si="18"/>
        <v>755078</v>
      </c>
    </row>
    <row r="53" spans="1:15" ht="16.8" x14ac:dyDescent="0.3">
      <c r="A53" s="1" t="s">
        <v>57</v>
      </c>
      <c r="B53" s="6">
        <f t="shared" ref="B53:J53" si="19">B52/B51</f>
        <v>-7.47848514697496E-2</v>
      </c>
      <c r="C53" s="6">
        <f t="shared" si="19"/>
        <v>0.86201512859304086</v>
      </c>
      <c r="D53" s="6">
        <f t="shared" si="19"/>
        <v>0.76213681163668345</v>
      </c>
      <c r="E53" s="6">
        <f t="shared" si="19"/>
        <v>2.5707266615521865E-3</v>
      </c>
      <c r="F53" s="6">
        <f t="shared" si="19"/>
        <v>7.4375943474742134E-2</v>
      </c>
      <c r="G53" s="6">
        <f t="shared" si="19"/>
        <v>0.11435150991249454</v>
      </c>
      <c r="H53" s="6">
        <f t="shared" si="19"/>
        <v>0.23225647112598699</v>
      </c>
      <c r="I53" s="6">
        <f t="shared" si="19"/>
        <v>-0.1351216390055956</v>
      </c>
      <c r="J53" s="6">
        <f t="shared" si="19"/>
        <v>-9.5144063345071112E-2</v>
      </c>
      <c r="K53" s="6">
        <v>0</v>
      </c>
      <c r="L53" s="6">
        <f>L52/L51</f>
        <v>-4.2826552462526765E-4</v>
      </c>
      <c r="M53" s="6">
        <f>M52/M51</f>
        <v>8.1445600111605412E-2</v>
      </c>
      <c r="N53" s="6">
        <f>N52/N51</f>
        <v>0.11435150991249454</v>
      </c>
    </row>
  </sheetData>
  <phoneticPr fontId="8" type="noConversion"/>
  <pageMargins left="0.5" right="0.5" top="0.5" bottom="0.55000000000000004" header="0.5" footer="0.5"/>
  <pageSetup scale="57" orientation="landscape" r:id="rId1"/>
  <headerFooter alignWithMargins="0"/>
  <colBreaks count="1" manualBreakCount="1">
    <brk id="6" max="1048575" man="1"/>
  </colBreaks>
  <ignoredErrors>
    <ignoredError sqref="B32:G32 G31 G33:G34 H32:N32 G43 B50:G50 G49 G51:G52 H50:N50 G16 G2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AI43"/>
  <sheetViews>
    <sheetView showGridLines="0" tabSelected="1" defaultGridColor="0" colorId="22" zoomScale="87" zoomScaleNormal="87" workbookViewId="0">
      <pane xSplit="1" ySplit="7" topLeftCell="D8" activePane="bottomRight" state="frozen"/>
      <selection pane="topRight" activeCell="B1" sqref="B1"/>
      <selection pane="bottomLeft" activeCell="A8" sqref="A8"/>
      <selection pane="bottomRight" activeCell="D8" sqref="D8"/>
    </sheetView>
  </sheetViews>
  <sheetFormatPr defaultColWidth="9.59765625" defaultRowHeight="15.6" x14ac:dyDescent="0.3"/>
  <cols>
    <col min="1" max="1" width="39.19921875" style="1" customWidth="1"/>
    <col min="2" max="2" width="8.59765625" style="1" hidden="1" customWidth="1"/>
    <col min="3" max="3" width="8.5" style="1" hidden="1" customWidth="1"/>
    <col min="4" max="4" width="14.59765625" style="1" customWidth="1"/>
    <col min="5" max="5" width="7.59765625" style="1" hidden="1" customWidth="1"/>
    <col min="6" max="6" width="8.5" style="1" hidden="1" customWidth="1"/>
    <col min="7" max="7" width="14.59765625" style="1" customWidth="1"/>
    <col min="8" max="8" width="14.59765625" style="1" hidden="1" customWidth="1"/>
    <col min="9" max="9" width="8.69921875" style="1" hidden="1" customWidth="1"/>
    <col min="10" max="10" width="11.19921875" style="1" hidden="1" customWidth="1"/>
    <col min="11" max="11" width="11" style="1" hidden="1" customWidth="1"/>
    <col min="12" max="12" width="18" style="1" hidden="1" customWidth="1"/>
    <col min="13" max="14" width="14.59765625" style="1" customWidth="1"/>
    <col min="15" max="20" width="9.59765625" style="1" hidden="1" customWidth="1"/>
    <col min="21" max="22" width="14.59765625" style="1" customWidth="1"/>
    <col min="23" max="23" width="15.3984375" style="1" customWidth="1"/>
    <col min="24" max="24" width="17.09765625" style="1" bestFit="1" customWidth="1"/>
    <col min="25" max="25" width="10.3984375" style="1" hidden="1" customWidth="1"/>
    <col min="26" max="27" width="9.19921875" style="1" hidden="1" customWidth="1"/>
    <col min="28" max="30" width="14.59765625" style="1" customWidth="1"/>
    <col min="31" max="31" width="10.3984375" style="1" hidden="1" customWidth="1"/>
    <col min="32" max="32" width="11.5" style="1" hidden="1" customWidth="1"/>
    <col min="33" max="35" width="14.59765625" style="1" customWidth="1"/>
  </cols>
  <sheetData>
    <row r="1" spans="1:35" ht="17.399999999999999" x14ac:dyDescent="0.3">
      <c r="A1" s="17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 t="s">
        <v>0</v>
      </c>
      <c r="T1" s="2"/>
      <c r="U1" s="3" t="s">
        <v>70</v>
      </c>
      <c r="V1" s="2" t="s">
        <v>71</v>
      </c>
      <c r="W1" s="2"/>
      <c r="X1" s="2"/>
      <c r="Y1" s="2"/>
      <c r="Z1" s="2"/>
      <c r="AA1" s="2"/>
      <c r="AB1" s="2"/>
      <c r="AC1" s="2"/>
    </row>
    <row r="2" spans="1:35" ht="17.399999999999999" x14ac:dyDescent="0.3">
      <c r="O2" s="10"/>
      <c r="P2" s="10"/>
      <c r="Q2" s="10"/>
      <c r="R2" s="10"/>
      <c r="S2" s="10"/>
      <c r="T2" s="10"/>
      <c r="U2" s="11" t="s">
        <v>83</v>
      </c>
      <c r="V2" s="10" t="s">
        <v>1</v>
      </c>
    </row>
    <row r="4" spans="1:35" x14ac:dyDescent="0.3">
      <c r="D4" s="4" t="s">
        <v>2</v>
      </c>
      <c r="G4" s="4" t="s">
        <v>3</v>
      </c>
      <c r="H4" s="4"/>
      <c r="N4" s="4" t="s">
        <v>4</v>
      </c>
      <c r="W4" s="1" t="s">
        <v>84</v>
      </c>
      <c r="X4" s="4" t="s">
        <v>86</v>
      </c>
      <c r="AC4" s="4" t="s">
        <v>5</v>
      </c>
      <c r="AG4" s="4" t="s">
        <v>6</v>
      </c>
    </row>
    <row r="5" spans="1:35" x14ac:dyDescent="0.3">
      <c r="B5" s="4" t="s">
        <v>91</v>
      </c>
      <c r="C5" s="4" t="s">
        <v>7</v>
      </c>
      <c r="D5" s="4" t="s">
        <v>8</v>
      </c>
      <c r="E5" s="4" t="s">
        <v>9</v>
      </c>
      <c r="F5" s="4" t="s">
        <v>87</v>
      </c>
      <c r="G5" s="4" t="s">
        <v>10</v>
      </c>
      <c r="H5" s="4" t="s">
        <v>90</v>
      </c>
      <c r="I5" s="4" t="s">
        <v>88</v>
      </c>
      <c r="J5" s="4" t="s">
        <v>89</v>
      </c>
      <c r="K5" s="4" t="s">
        <v>65</v>
      </c>
      <c r="L5" s="4" t="s">
        <v>93</v>
      </c>
      <c r="M5" s="4" t="s">
        <v>11</v>
      </c>
      <c r="N5" s="4" t="s">
        <v>12</v>
      </c>
      <c r="O5" s="4" t="s">
        <v>92</v>
      </c>
      <c r="P5" s="4" t="s">
        <v>13</v>
      </c>
      <c r="Q5" s="4" t="s">
        <v>14</v>
      </c>
      <c r="R5" s="4" t="s">
        <v>15</v>
      </c>
      <c r="S5" s="4" t="s">
        <v>16</v>
      </c>
      <c r="T5" s="4" t="s">
        <v>17</v>
      </c>
      <c r="U5" s="4" t="s">
        <v>11</v>
      </c>
      <c r="V5" s="4" t="s">
        <v>18</v>
      </c>
      <c r="W5" s="4" t="s">
        <v>85</v>
      </c>
      <c r="X5" s="4" t="s">
        <v>85</v>
      </c>
      <c r="Y5" s="4" t="s">
        <v>21</v>
      </c>
      <c r="Z5" s="4" t="s">
        <v>22</v>
      </c>
      <c r="AA5" s="4" t="s">
        <v>66</v>
      </c>
      <c r="AB5" s="4" t="s">
        <v>11</v>
      </c>
      <c r="AC5" s="4" t="s">
        <v>23</v>
      </c>
      <c r="AD5" s="4" t="s">
        <v>24</v>
      </c>
      <c r="AE5" s="4" t="s">
        <v>25</v>
      </c>
      <c r="AF5" s="4" t="s">
        <v>26</v>
      </c>
      <c r="AG5" s="4" t="s">
        <v>27</v>
      </c>
    </row>
    <row r="6" spans="1:35" x14ac:dyDescent="0.3">
      <c r="A6" s="4" t="s">
        <v>28</v>
      </c>
      <c r="B6" s="4" t="s">
        <v>29</v>
      </c>
      <c r="C6" s="4" t="s">
        <v>29</v>
      </c>
      <c r="D6" s="4" t="s">
        <v>30</v>
      </c>
      <c r="E6" s="4" t="s">
        <v>29</v>
      </c>
      <c r="F6" s="4" t="s">
        <v>29</v>
      </c>
      <c r="G6" s="4" t="s">
        <v>31</v>
      </c>
      <c r="H6" s="4" t="s">
        <v>29</v>
      </c>
      <c r="I6" s="4" t="s">
        <v>29</v>
      </c>
      <c r="J6" s="4" t="s">
        <v>29</v>
      </c>
      <c r="K6" s="4" t="s">
        <v>29</v>
      </c>
      <c r="L6" s="4" t="s">
        <v>29</v>
      </c>
      <c r="M6" s="4" t="s">
        <v>32</v>
      </c>
      <c r="N6" s="4" t="s">
        <v>33</v>
      </c>
      <c r="O6" s="4" t="s">
        <v>29</v>
      </c>
      <c r="P6" s="4" t="s">
        <v>29</v>
      </c>
      <c r="Q6" s="4" t="s">
        <v>29</v>
      </c>
      <c r="R6" s="4" t="s">
        <v>29</v>
      </c>
      <c r="S6" s="4" t="s">
        <v>29</v>
      </c>
      <c r="T6" s="4" t="s">
        <v>29</v>
      </c>
      <c r="U6" s="4" t="s">
        <v>34</v>
      </c>
      <c r="V6" s="4" t="s">
        <v>35</v>
      </c>
      <c r="W6" s="4" t="s">
        <v>36</v>
      </c>
      <c r="X6" s="4" t="s">
        <v>36</v>
      </c>
      <c r="Y6" s="4" t="s">
        <v>29</v>
      </c>
      <c r="Z6" s="4" t="s">
        <v>29</v>
      </c>
      <c r="AA6" s="4" t="s">
        <v>29</v>
      </c>
      <c r="AB6" s="4" t="s">
        <v>37</v>
      </c>
      <c r="AC6" s="4" t="s">
        <v>38</v>
      </c>
      <c r="AD6" s="4" t="s">
        <v>39</v>
      </c>
      <c r="AE6" s="4" t="s">
        <v>29</v>
      </c>
      <c r="AF6" s="4" t="s">
        <v>29</v>
      </c>
      <c r="AG6" s="4" t="s">
        <v>40</v>
      </c>
    </row>
    <row r="8" spans="1:35" x14ac:dyDescent="0.3">
      <c r="A8" s="4" t="s">
        <v>76</v>
      </c>
    </row>
    <row r="10" spans="1:35" ht="16.8" x14ac:dyDescent="0.3">
      <c r="A10" s="1" t="s">
        <v>75</v>
      </c>
      <c r="B10" s="17">
        <v>4425</v>
      </c>
      <c r="C10" s="17">
        <v>94457</v>
      </c>
      <c r="D10" s="5">
        <f>SUM(B10:C10)</f>
        <v>98882</v>
      </c>
      <c r="E10" s="17">
        <v>0</v>
      </c>
      <c r="F10" s="17">
        <v>0</v>
      </c>
      <c r="G10" s="5">
        <f>SUM(E10:F10)</f>
        <v>0</v>
      </c>
      <c r="H10" s="17">
        <v>0</v>
      </c>
      <c r="I10" s="17">
        <v>0</v>
      </c>
      <c r="J10" s="17">
        <v>124</v>
      </c>
      <c r="K10" s="17">
        <v>0</v>
      </c>
      <c r="L10" s="17">
        <v>3880</v>
      </c>
      <c r="M10" s="5">
        <f>SUM(H10:L10)</f>
        <v>4004</v>
      </c>
      <c r="N10" s="5">
        <f>398+188015</f>
        <v>188413</v>
      </c>
      <c r="O10" s="17">
        <v>4760</v>
      </c>
      <c r="P10" s="17">
        <v>0</v>
      </c>
      <c r="Q10" s="17">
        <v>0</v>
      </c>
      <c r="R10" s="17">
        <v>0</v>
      </c>
      <c r="S10" s="17">
        <v>2188</v>
      </c>
      <c r="T10" s="17">
        <v>5083</v>
      </c>
      <c r="U10" s="5">
        <f>SUM(O10:T10)</f>
        <v>12031</v>
      </c>
      <c r="V10" s="5">
        <f>U10+N10+G10+M10+D10</f>
        <v>303330</v>
      </c>
      <c r="W10" s="5">
        <v>64192</v>
      </c>
      <c r="X10" s="5">
        <v>210718</v>
      </c>
      <c r="Y10" s="17">
        <v>0</v>
      </c>
      <c r="Z10" s="17">
        <v>3934</v>
      </c>
      <c r="AA10" s="17">
        <v>2613</v>
      </c>
      <c r="AB10" s="5">
        <f>SUM(Y10:AA10)</f>
        <v>6547</v>
      </c>
      <c r="AC10" s="5">
        <v>0</v>
      </c>
      <c r="AD10" s="5">
        <v>0</v>
      </c>
      <c r="AE10" s="17">
        <v>21873</v>
      </c>
      <c r="AF10" s="17">
        <v>0</v>
      </c>
      <c r="AG10" s="5">
        <f>AE10-AF10</f>
        <v>21873</v>
      </c>
      <c r="AH10" s="12">
        <f>W10+X10+AB10+AC10+AD10+AG10</f>
        <v>303330</v>
      </c>
      <c r="AI10" s="12" t="str">
        <f>IF(V10=AH10,"GOOD","ERROR")</f>
        <v>GOOD</v>
      </c>
    </row>
    <row r="11" spans="1:35" ht="16.8" x14ac:dyDescent="0.3">
      <c r="A11" s="1" t="s">
        <v>43</v>
      </c>
      <c r="B11" s="17">
        <v>13421</v>
      </c>
      <c r="C11" s="17">
        <v>7324</v>
      </c>
      <c r="D11" s="5">
        <f>SUM(B11:C11)</f>
        <v>20745</v>
      </c>
      <c r="E11" s="17">
        <v>10885</v>
      </c>
      <c r="F11" s="17">
        <v>0</v>
      </c>
      <c r="G11" s="5">
        <f>SUM(E11:F11)</f>
        <v>10885</v>
      </c>
      <c r="H11" s="17">
        <v>0</v>
      </c>
      <c r="I11" s="17">
        <v>35512</v>
      </c>
      <c r="J11" s="17">
        <f>4482+37+7172+391</f>
        <v>12082</v>
      </c>
      <c r="K11" s="17">
        <f>5410+4984</f>
        <v>10394</v>
      </c>
      <c r="L11" s="17">
        <v>0</v>
      </c>
      <c r="M11" s="5">
        <f>SUM(H11:L11)</f>
        <v>57988</v>
      </c>
      <c r="N11" s="5">
        <v>118577</v>
      </c>
      <c r="O11" s="17">
        <f>2162+4420</f>
        <v>6582</v>
      </c>
      <c r="P11" s="17">
        <v>0</v>
      </c>
      <c r="Q11" s="17">
        <v>0</v>
      </c>
      <c r="R11" s="17">
        <v>0</v>
      </c>
      <c r="S11" s="17">
        <v>0</v>
      </c>
      <c r="T11" s="17">
        <v>7534</v>
      </c>
      <c r="U11" s="5">
        <f>SUM(O11:T11)</f>
        <v>14116</v>
      </c>
      <c r="V11" s="5">
        <f>U11+N11+G11+M11+D11</f>
        <v>222311</v>
      </c>
      <c r="W11" s="5">
        <v>59478</v>
      </c>
      <c r="X11" s="5">
        <v>135592</v>
      </c>
      <c r="Y11" s="17"/>
      <c r="Z11" s="17">
        <v>1277</v>
      </c>
      <c r="AA11" s="17">
        <v>3292</v>
      </c>
      <c r="AB11" s="5">
        <f>SUM(Y11:AA11)</f>
        <v>4569</v>
      </c>
      <c r="AC11" s="5">
        <v>0</v>
      </c>
      <c r="AD11" s="5">
        <v>0</v>
      </c>
      <c r="AE11" s="17">
        <v>22672</v>
      </c>
      <c r="AF11" s="17">
        <v>0</v>
      </c>
      <c r="AG11" s="5">
        <f>AE11-AF11</f>
        <v>22672</v>
      </c>
      <c r="AH11" s="12">
        <f>W11+X11+AB11+AC11+AD11+AG11</f>
        <v>222311</v>
      </c>
      <c r="AI11" s="12" t="str">
        <f>IF(V11=AH11,"GOOD","ERROR")</f>
        <v>GOOD</v>
      </c>
    </row>
    <row r="12" spans="1:35" ht="16.8" x14ac:dyDescent="0.3">
      <c r="B12" s="17"/>
      <c r="C12" s="17"/>
      <c r="D12" s="5"/>
      <c r="E12" s="17"/>
      <c r="F12" s="17"/>
      <c r="G12" s="5"/>
      <c r="H12" s="5"/>
      <c r="I12" s="17"/>
      <c r="J12" s="17"/>
      <c r="K12" s="17"/>
      <c r="L12" s="17"/>
      <c r="M12" s="5"/>
      <c r="N12" s="5"/>
      <c r="O12" s="17"/>
      <c r="P12" s="17"/>
      <c r="Q12" s="17"/>
      <c r="R12" s="17"/>
      <c r="S12" s="17"/>
      <c r="T12" s="17"/>
      <c r="U12" s="5"/>
      <c r="V12" s="5"/>
      <c r="W12" s="5"/>
      <c r="X12" s="5"/>
      <c r="Y12" s="17"/>
      <c r="Z12" s="17"/>
      <c r="AA12" s="17"/>
      <c r="AB12" s="5"/>
      <c r="AC12" s="5"/>
      <c r="AD12" s="5"/>
      <c r="AE12" s="17"/>
      <c r="AF12" s="17"/>
      <c r="AG12" s="5"/>
      <c r="AH12" s="12"/>
    </row>
    <row r="13" spans="1:35" ht="16.8" x14ac:dyDescent="0.3">
      <c r="A13" s="1" t="s">
        <v>44</v>
      </c>
      <c r="B13" s="17">
        <f>SUM(B9:B12)</f>
        <v>17846</v>
      </c>
      <c r="C13" s="17">
        <f>SUM(C9:C12)</f>
        <v>101781</v>
      </c>
      <c r="D13" s="5">
        <f>IF(SUM(B13:C13)=SUM(D9:D12),SUM(D9:D12),"ERROR")</f>
        <v>119627</v>
      </c>
      <c r="E13" s="17">
        <f>SUM(E9:E12)</f>
        <v>10885</v>
      </c>
      <c r="F13" s="17">
        <f>SUM(F9:F12)</f>
        <v>0</v>
      </c>
      <c r="G13" s="5">
        <f>IF(SUM(E13:F13)=SUM(G9:G12),SUM(G9:G12),"ERROR")</f>
        <v>10885</v>
      </c>
      <c r="H13" s="17">
        <f>SUM(H9:H12)</f>
        <v>0</v>
      </c>
      <c r="I13" s="17">
        <f>SUM(I9:I12)</f>
        <v>35512</v>
      </c>
      <c r="J13" s="17">
        <f>SUM(J9:J12)</f>
        <v>12206</v>
      </c>
      <c r="K13" s="17">
        <f>SUM(K9:K12)</f>
        <v>10394</v>
      </c>
      <c r="L13" s="17">
        <f>SUM(L9:L12)</f>
        <v>3880</v>
      </c>
      <c r="M13" s="5">
        <f>IF(SUM(H13:L13)=SUM(M9:M12),SUM(M9:M12),"ERROR")</f>
        <v>61992</v>
      </c>
      <c r="N13" s="5">
        <f t="shared" ref="N13:T13" si="0">SUM(N9:N12)</f>
        <v>306990</v>
      </c>
      <c r="O13" s="17">
        <f t="shared" si="0"/>
        <v>11342</v>
      </c>
      <c r="P13" s="17">
        <f t="shared" si="0"/>
        <v>0</v>
      </c>
      <c r="Q13" s="17">
        <f t="shared" si="0"/>
        <v>0</v>
      </c>
      <c r="R13" s="17">
        <f t="shared" si="0"/>
        <v>0</v>
      </c>
      <c r="S13" s="17">
        <f t="shared" si="0"/>
        <v>2188</v>
      </c>
      <c r="T13" s="17">
        <f t="shared" si="0"/>
        <v>12617</v>
      </c>
      <c r="U13" s="5">
        <f>IF(SUM(O13:T13)=SUM(U9:U12),SUM(U9:U12),"ERROR")</f>
        <v>26147</v>
      </c>
      <c r="V13" s="5">
        <f>IF((D13+G13+M13+N13+U13)=SUM(V9:V12),SUM(V9:V12),"ERROR")</f>
        <v>525641</v>
      </c>
      <c r="W13" s="5">
        <f>SUM(W9:W12)</f>
        <v>123670</v>
      </c>
      <c r="X13" s="5">
        <f>SUM(X9:X12)</f>
        <v>346310</v>
      </c>
      <c r="Y13" s="17">
        <f>SUM(Y9:Y12)</f>
        <v>0</v>
      </c>
      <c r="Z13" s="17">
        <f>SUM(Z9:Z12)</f>
        <v>5211</v>
      </c>
      <c r="AA13" s="17">
        <f>SUM(AA9:AA12)</f>
        <v>5905</v>
      </c>
      <c r="AB13" s="5">
        <f>IF(SUM(Y13:AA13)=SUM(AB9:AB12),SUM(AB9:AB12),"ERROR")</f>
        <v>11116</v>
      </c>
      <c r="AC13" s="5">
        <f>SUM(AC9:AC12)</f>
        <v>0</v>
      </c>
      <c r="AD13" s="5">
        <f>SUM(AD9:AD12)</f>
        <v>0</v>
      </c>
      <c r="AE13" s="17">
        <f>SUM(AE9:AE12)</f>
        <v>44545</v>
      </c>
      <c r="AF13" s="17">
        <f>SUM(AF9:AF12)</f>
        <v>0</v>
      </c>
      <c r="AG13" s="5">
        <f>IF((AE13-AF13)=SUM(AG9:AG12),SUM(AG9:AG12),"ERROR")</f>
        <v>44545</v>
      </c>
      <c r="AH13" s="12">
        <f>W13+X13+AB13+AC13+AD13+AG13</f>
        <v>525641</v>
      </c>
      <c r="AI13" s="12" t="str">
        <f>IF(V13=AH13,"GOOD","ERROR")</f>
        <v>GOOD</v>
      </c>
    </row>
    <row r="14" spans="1:35" ht="16.8" x14ac:dyDescent="0.3">
      <c r="B14" s="17"/>
      <c r="C14" s="17"/>
      <c r="D14" s="5"/>
      <c r="E14" s="17"/>
      <c r="F14" s="17"/>
      <c r="G14" s="5"/>
      <c r="H14" s="5"/>
      <c r="I14" s="17"/>
      <c r="J14" s="17"/>
      <c r="K14" s="17"/>
      <c r="L14" s="17"/>
      <c r="M14" s="5"/>
      <c r="N14" s="5"/>
      <c r="O14" s="17"/>
      <c r="P14" s="17"/>
      <c r="Q14" s="17"/>
      <c r="R14" s="17"/>
      <c r="S14" s="17"/>
      <c r="T14" s="17"/>
      <c r="U14" s="5"/>
      <c r="V14" s="5"/>
      <c r="W14" s="5"/>
      <c r="X14" s="5"/>
      <c r="Y14" s="17"/>
      <c r="Z14" s="17"/>
      <c r="AA14" s="17"/>
      <c r="AB14" s="5"/>
      <c r="AC14" s="5"/>
      <c r="AD14" s="5"/>
      <c r="AE14" s="17"/>
      <c r="AF14" s="17"/>
      <c r="AG14" s="5"/>
      <c r="AH14" s="12"/>
      <c r="AI14" s="12"/>
    </row>
    <row r="15" spans="1:35" ht="16.8" x14ac:dyDescent="0.3">
      <c r="B15" s="17" t="s">
        <v>0</v>
      </c>
      <c r="C15" s="17"/>
      <c r="D15" s="5"/>
      <c r="E15" s="17"/>
      <c r="F15" s="17"/>
      <c r="G15" s="5"/>
      <c r="H15" s="5"/>
      <c r="I15" s="17"/>
      <c r="J15" s="17"/>
      <c r="K15" s="17"/>
      <c r="L15" s="17"/>
      <c r="M15" s="5"/>
      <c r="N15" s="5"/>
      <c r="O15" s="17"/>
      <c r="P15" s="17"/>
      <c r="Q15" s="17"/>
      <c r="R15" s="17"/>
      <c r="S15" s="17"/>
      <c r="T15" s="17"/>
      <c r="U15" s="5"/>
      <c r="V15" s="5"/>
      <c r="W15" s="5"/>
      <c r="X15" s="5"/>
      <c r="Y15" s="17"/>
      <c r="Z15" s="17"/>
      <c r="AA15" s="17"/>
      <c r="AB15" s="5"/>
      <c r="AC15" s="5"/>
      <c r="AD15" s="5"/>
      <c r="AE15" s="17"/>
      <c r="AF15" s="17"/>
      <c r="AG15" s="5"/>
      <c r="AH15" s="12"/>
    </row>
    <row r="16" spans="1:35" ht="16.8" x14ac:dyDescent="0.3">
      <c r="A16" s="4" t="s">
        <v>80</v>
      </c>
      <c r="B16" s="17"/>
      <c r="C16" s="17"/>
      <c r="D16" s="5"/>
      <c r="E16" s="17"/>
      <c r="F16" s="17"/>
      <c r="G16" s="5"/>
      <c r="H16" s="5"/>
      <c r="I16" s="17"/>
      <c r="J16" s="17"/>
      <c r="K16" s="17"/>
      <c r="L16" s="17"/>
      <c r="M16" s="5"/>
      <c r="N16" s="5"/>
      <c r="O16" s="17"/>
      <c r="P16" s="17"/>
      <c r="Q16" s="17"/>
      <c r="R16" s="17"/>
      <c r="S16" s="17"/>
      <c r="T16" s="17"/>
      <c r="U16" s="5"/>
      <c r="V16" s="5"/>
      <c r="W16" s="5"/>
      <c r="X16" s="5"/>
      <c r="Y16" s="17"/>
      <c r="Z16" s="17"/>
      <c r="AA16" s="17"/>
      <c r="AB16" s="5"/>
      <c r="AC16" s="5"/>
      <c r="AD16" s="5"/>
      <c r="AE16" s="17"/>
      <c r="AF16" s="17"/>
      <c r="AG16" s="5"/>
      <c r="AH16" s="12"/>
    </row>
    <row r="17" spans="1:35" ht="16.8" x14ac:dyDescent="0.3">
      <c r="B17" s="17"/>
      <c r="C17" s="17"/>
      <c r="D17" s="7"/>
      <c r="E17" s="17"/>
      <c r="F17" s="17"/>
      <c r="G17" s="7"/>
      <c r="H17" s="7"/>
      <c r="I17" s="17"/>
      <c r="J17" s="17"/>
      <c r="K17" s="17"/>
      <c r="L17" s="17"/>
      <c r="M17" s="7"/>
      <c r="N17" s="7"/>
      <c r="O17" s="17"/>
      <c r="P17" s="17"/>
      <c r="Q17" s="17"/>
      <c r="R17" s="17"/>
      <c r="S17" s="17"/>
      <c r="T17" s="17"/>
      <c r="U17" s="7"/>
      <c r="V17" s="7"/>
      <c r="W17" s="7"/>
      <c r="X17" s="7"/>
      <c r="Y17" s="17"/>
      <c r="Z17" s="17"/>
      <c r="AA17" s="17"/>
      <c r="AB17" s="7"/>
      <c r="AC17" s="7"/>
      <c r="AD17" s="7"/>
      <c r="AE17" s="17"/>
      <c r="AF17" s="17"/>
      <c r="AG17" s="7"/>
    </row>
    <row r="18" spans="1:35" ht="16.8" x14ac:dyDescent="0.3">
      <c r="A18" s="1" t="s">
        <v>41</v>
      </c>
      <c r="B18" s="17">
        <v>9339</v>
      </c>
      <c r="C18" s="17">
        <v>18747</v>
      </c>
      <c r="D18" s="5">
        <f>SUM(B18:C18)</f>
        <v>28086</v>
      </c>
      <c r="E18" s="17">
        <v>24634</v>
      </c>
      <c r="F18" s="17">
        <v>207885</v>
      </c>
      <c r="G18" s="5">
        <f>SUM(E18:F18)</f>
        <v>232519</v>
      </c>
      <c r="H18" s="17">
        <v>0</v>
      </c>
      <c r="I18" s="17">
        <v>49722</v>
      </c>
      <c r="J18" s="17">
        <f>66009+23591+1951</f>
        <v>91551</v>
      </c>
      <c r="K18" s="17">
        <v>16722</v>
      </c>
      <c r="L18" s="17">
        <v>0</v>
      </c>
      <c r="M18" s="5">
        <f t="shared" ref="M18:M21" si="1">SUM(H18:L18)</f>
        <v>157995</v>
      </c>
      <c r="N18" s="5">
        <v>908186</v>
      </c>
      <c r="O18" s="17">
        <v>17768</v>
      </c>
      <c r="P18" s="17">
        <v>0</v>
      </c>
      <c r="Q18" s="17">
        <v>0</v>
      </c>
      <c r="R18" s="17">
        <v>5480</v>
      </c>
      <c r="S18" s="17">
        <v>0</v>
      </c>
      <c r="T18" s="17">
        <v>51837</v>
      </c>
      <c r="U18" s="5">
        <f>SUM(O18:T18)</f>
        <v>75085</v>
      </c>
      <c r="V18" s="5">
        <f>U18+N18+G18+M18+D18</f>
        <v>1401871</v>
      </c>
      <c r="W18" s="5">
        <v>289819</v>
      </c>
      <c r="X18" s="5">
        <v>879293</v>
      </c>
      <c r="Y18" s="17">
        <v>78332</v>
      </c>
      <c r="Z18" s="17">
        <v>3792</v>
      </c>
      <c r="AA18" s="17">
        <v>10685</v>
      </c>
      <c r="AB18" s="5">
        <f>SUM(Y18:AA18)</f>
        <v>92809</v>
      </c>
      <c r="AC18" s="5">
        <v>0</v>
      </c>
      <c r="AD18" s="5">
        <v>1</v>
      </c>
      <c r="AE18" s="17">
        <v>139950</v>
      </c>
      <c r="AF18" s="17">
        <v>1</v>
      </c>
      <c r="AG18" s="5">
        <f t="shared" ref="AG18:AG21" si="2">AE18-AF18</f>
        <v>139949</v>
      </c>
      <c r="AH18" s="12">
        <f>W18+X18+AB18+AC18+AD18+AG18</f>
        <v>1401871</v>
      </c>
      <c r="AI18" s="12" t="str">
        <f>IF(V18=AH18,"GOOD","ERROR")</f>
        <v>GOOD</v>
      </c>
    </row>
    <row r="19" spans="1:35" ht="16.8" x14ac:dyDescent="0.3">
      <c r="A19" s="1" t="s">
        <v>42</v>
      </c>
      <c r="B19" s="17">
        <v>5019</v>
      </c>
      <c r="C19" s="17">
        <v>108691</v>
      </c>
      <c r="D19" s="5">
        <f>SUM(B19:C19)</f>
        <v>113710</v>
      </c>
      <c r="E19" s="17">
        <v>0</v>
      </c>
      <c r="F19" s="17">
        <v>0</v>
      </c>
      <c r="G19" s="5">
        <f>SUM(E19:F19)</f>
        <v>0</v>
      </c>
      <c r="H19" s="17">
        <v>39494</v>
      </c>
      <c r="I19" s="17">
        <v>8690</v>
      </c>
      <c r="J19" s="17">
        <f>77624+3830</f>
        <v>81454</v>
      </c>
      <c r="K19" s="17">
        <v>0</v>
      </c>
      <c r="L19" s="17">
        <v>0</v>
      </c>
      <c r="M19" s="5">
        <f t="shared" si="1"/>
        <v>129638</v>
      </c>
      <c r="N19" s="5">
        <f>11945+571800</f>
        <v>583745</v>
      </c>
      <c r="O19" s="17">
        <v>11335</v>
      </c>
      <c r="P19" s="17">
        <v>0</v>
      </c>
      <c r="Q19" s="17">
        <v>0</v>
      </c>
      <c r="R19" s="17">
        <v>3527</v>
      </c>
      <c r="S19" s="17">
        <v>14917</v>
      </c>
      <c r="T19" s="17">
        <v>23304</v>
      </c>
      <c r="U19" s="5">
        <f>SUM(O19:T19)</f>
        <v>53083</v>
      </c>
      <c r="V19" s="5">
        <f>U19+N19+G19+M19+D19</f>
        <v>880176</v>
      </c>
      <c r="W19" s="5">
        <v>153022</v>
      </c>
      <c r="X19" s="5">
        <v>586793</v>
      </c>
      <c r="Y19" s="17">
        <v>0</v>
      </c>
      <c r="Z19" s="17">
        <v>17540</v>
      </c>
      <c r="AA19" s="17">
        <v>15036</v>
      </c>
      <c r="AB19" s="5">
        <f>SUM(Y19:AA19)</f>
        <v>32576</v>
      </c>
      <c r="AC19" s="5">
        <v>0</v>
      </c>
      <c r="AD19" s="5">
        <v>0</v>
      </c>
      <c r="AE19" s="17">
        <v>107785</v>
      </c>
      <c r="AF19" s="17">
        <v>0</v>
      </c>
      <c r="AG19" s="5">
        <f t="shared" si="2"/>
        <v>107785</v>
      </c>
      <c r="AH19" s="12">
        <f>W19+X19+AB19+AC19+AD19+AG19</f>
        <v>880176</v>
      </c>
      <c r="AI19" s="12" t="str">
        <f>IF(V19=AH19,"GOOD","ERROR")</f>
        <v>GOOD</v>
      </c>
    </row>
    <row r="20" spans="1:35" ht="16.8" x14ac:dyDescent="0.3">
      <c r="A20" s="1" t="s">
        <v>45</v>
      </c>
      <c r="B20" s="17">
        <v>3739</v>
      </c>
      <c r="C20" s="17">
        <v>124763</v>
      </c>
      <c r="D20" s="5">
        <f>SUM(B20:C20)</f>
        <v>128502</v>
      </c>
      <c r="E20" s="17">
        <v>0</v>
      </c>
      <c r="F20" s="17">
        <v>14666</v>
      </c>
      <c r="G20" s="5">
        <f>SUM(E20:F20)</f>
        <v>14666</v>
      </c>
      <c r="H20" s="17">
        <v>0</v>
      </c>
      <c r="I20" s="17">
        <v>25589</v>
      </c>
      <c r="J20" s="17">
        <v>21092</v>
      </c>
      <c r="K20" s="17">
        <v>0</v>
      </c>
      <c r="L20" s="17">
        <v>0</v>
      </c>
      <c r="M20" s="5">
        <f t="shared" si="1"/>
        <v>46681</v>
      </c>
      <c r="N20" s="5">
        <v>179075</v>
      </c>
      <c r="O20" s="17">
        <v>5484</v>
      </c>
      <c r="P20" s="17">
        <v>0</v>
      </c>
      <c r="Q20" s="17">
        <v>123</v>
      </c>
      <c r="R20" s="17">
        <v>0</v>
      </c>
      <c r="S20" s="17">
        <v>803</v>
      </c>
      <c r="T20" s="17">
        <v>6469</v>
      </c>
      <c r="U20" s="5">
        <f>SUM(O20:T20)</f>
        <v>12879</v>
      </c>
      <c r="V20" s="5">
        <f>U20+N20+G20+M20+D20</f>
        <v>381803</v>
      </c>
      <c r="W20" s="5">
        <v>123701</v>
      </c>
      <c r="X20" s="5">
        <v>216249</v>
      </c>
      <c r="Y20" s="17">
        <v>3250</v>
      </c>
      <c r="Z20" s="17">
        <v>0</v>
      </c>
      <c r="AA20" s="17">
        <v>1116</v>
      </c>
      <c r="AB20" s="5">
        <f>SUM(Y20:AA20)</f>
        <v>4366</v>
      </c>
      <c r="AC20" s="5">
        <v>0</v>
      </c>
      <c r="AD20" s="5">
        <v>285</v>
      </c>
      <c r="AE20" s="17">
        <v>37487</v>
      </c>
      <c r="AF20" s="17">
        <v>285</v>
      </c>
      <c r="AG20" s="5">
        <f t="shared" si="2"/>
        <v>37202</v>
      </c>
      <c r="AH20" s="12">
        <f>W20+X20+AB20+AC20+AD20+AG20</f>
        <v>381803</v>
      </c>
      <c r="AI20" s="12" t="str">
        <f>IF(V20=AH20,"GOOD","ERROR")</f>
        <v>GOOD</v>
      </c>
    </row>
    <row r="21" spans="1:35" ht="16.8" x14ac:dyDescent="0.3">
      <c r="A21" s="1" t="s">
        <v>46</v>
      </c>
      <c r="B21" s="17">
        <v>8389</v>
      </c>
      <c r="C21" s="17">
        <v>70793</v>
      </c>
      <c r="D21" s="5">
        <f>SUM(B21:C21)</f>
        <v>79182</v>
      </c>
      <c r="E21" s="17">
        <v>2875</v>
      </c>
      <c r="F21" s="17">
        <v>33763</v>
      </c>
      <c r="G21" s="5">
        <f>SUM(E21:F21)</f>
        <v>36638</v>
      </c>
      <c r="H21" s="17">
        <v>1059</v>
      </c>
      <c r="I21" s="17">
        <v>45254</v>
      </c>
      <c r="J21" s="17">
        <f>133836+38883+4883+648</f>
        <v>178250</v>
      </c>
      <c r="K21" s="17">
        <v>8320</v>
      </c>
      <c r="L21" s="17">
        <v>159</v>
      </c>
      <c r="M21" s="5">
        <f t="shared" si="1"/>
        <v>233042</v>
      </c>
      <c r="N21" s="5">
        <f>13829+779418</f>
        <v>793247</v>
      </c>
      <c r="O21" s="17">
        <v>23227</v>
      </c>
      <c r="P21" s="17">
        <v>0</v>
      </c>
      <c r="Q21" s="17">
        <v>0</v>
      </c>
      <c r="R21" s="17">
        <v>7572</v>
      </c>
      <c r="S21" s="17">
        <v>4719</v>
      </c>
      <c r="T21" s="17">
        <v>26920</v>
      </c>
      <c r="U21" s="5">
        <f>SUM(O21:T21)</f>
        <v>62438</v>
      </c>
      <c r="V21" s="5">
        <f>U21+N21+G21+M21+D21</f>
        <v>1204547</v>
      </c>
      <c r="W21" s="5">
        <v>267566</v>
      </c>
      <c r="X21" s="5">
        <v>830195</v>
      </c>
      <c r="Y21" s="17">
        <v>0</v>
      </c>
      <c r="Z21" s="17">
        <v>0</v>
      </c>
      <c r="AA21" s="17">
        <v>6969</v>
      </c>
      <c r="AB21" s="5">
        <f>SUM(Y21:AA21)</f>
        <v>6969</v>
      </c>
      <c r="AC21" s="5">
        <v>0</v>
      </c>
      <c r="AD21" s="5">
        <v>200</v>
      </c>
      <c r="AE21" s="17">
        <v>99817</v>
      </c>
      <c r="AF21" s="17">
        <v>200</v>
      </c>
      <c r="AG21" s="5">
        <f t="shared" si="2"/>
        <v>99617</v>
      </c>
      <c r="AH21" s="12">
        <f>W21+X21+AB21+AC21+AD21+AG21</f>
        <v>1204547</v>
      </c>
      <c r="AI21" s="12" t="str">
        <f>IF(V21=AH21,"GOOD","ERROR")</f>
        <v>GOOD</v>
      </c>
    </row>
    <row r="22" spans="1:35" ht="16.8" x14ac:dyDescent="0.3">
      <c r="B22" s="17"/>
      <c r="C22" s="17"/>
      <c r="D22" s="5"/>
      <c r="E22" s="17"/>
      <c r="F22" s="17"/>
      <c r="G22" s="5"/>
      <c r="H22" s="17"/>
      <c r="I22" s="17"/>
      <c r="J22" s="17"/>
      <c r="K22" s="17"/>
      <c r="L22" s="17"/>
      <c r="M22" s="5"/>
      <c r="N22" s="5"/>
      <c r="O22" s="17"/>
      <c r="P22" s="17"/>
      <c r="Q22" s="17"/>
      <c r="R22" s="17"/>
      <c r="S22" s="17"/>
      <c r="T22" s="17"/>
      <c r="U22" s="5"/>
      <c r="V22" s="5"/>
      <c r="W22" s="5"/>
      <c r="X22" s="5"/>
      <c r="Y22" s="17"/>
      <c r="Z22" s="17"/>
      <c r="AA22" s="17"/>
      <c r="AB22" s="5"/>
      <c r="AC22" s="5"/>
      <c r="AD22" s="5"/>
      <c r="AE22" s="17"/>
      <c r="AF22" s="17"/>
      <c r="AG22" s="5"/>
      <c r="AH22" s="12"/>
    </row>
    <row r="23" spans="1:35" ht="16.8" x14ac:dyDescent="0.3">
      <c r="A23" s="1" t="s">
        <v>44</v>
      </c>
      <c r="B23" s="17">
        <f>SUM(B17:B22)</f>
        <v>26486</v>
      </c>
      <c r="C23" s="17">
        <f>SUM(C17:C22)</f>
        <v>322994</v>
      </c>
      <c r="D23" s="5">
        <f>IF(SUM(B23:C23)=SUM(D17:D22),SUM(D17:D22),"ERROR")</f>
        <v>349480</v>
      </c>
      <c r="E23" s="17">
        <f>SUM(E17:E22)</f>
        <v>27509</v>
      </c>
      <c r="F23" s="17">
        <f>SUM(F17:F22)</f>
        <v>256314</v>
      </c>
      <c r="G23" s="5">
        <f>IF(SUM(E23:F23)=SUM(G17:G22),SUM(G17:G22),"ERROR")</f>
        <v>283823</v>
      </c>
      <c r="H23" s="17">
        <f>SUM(H17:H22)</f>
        <v>40553</v>
      </c>
      <c r="I23" s="17">
        <f>SUM(I17:I22)</f>
        <v>129255</v>
      </c>
      <c r="J23" s="17">
        <f>SUM(J17:J22)</f>
        <v>372347</v>
      </c>
      <c r="K23" s="17">
        <f>SUM(K17:K22)</f>
        <v>25042</v>
      </c>
      <c r="L23" s="17">
        <f>SUM(L17:L22)</f>
        <v>159</v>
      </c>
      <c r="M23" s="5">
        <f>IF(SUM(H23:L23)=SUM(M17:M22),SUM(M17:M22),"ERROR")</f>
        <v>567356</v>
      </c>
      <c r="N23" s="5">
        <f t="shared" ref="N23:T23" si="3">SUM(N17:N22)</f>
        <v>2464253</v>
      </c>
      <c r="O23" s="17">
        <f t="shared" si="3"/>
        <v>57814</v>
      </c>
      <c r="P23" s="17">
        <f t="shared" si="3"/>
        <v>0</v>
      </c>
      <c r="Q23" s="17">
        <f t="shared" si="3"/>
        <v>123</v>
      </c>
      <c r="R23" s="17">
        <f t="shared" si="3"/>
        <v>16579</v>
      </c>
      <c r="S23" s="17">
        <f t="shared" si="3"/>
        <v>20439</v>
      </c>
      <c r="T23" s="17">
        <f t="shared" si="3"/>
        <v>108530</v>
      </c>
      <c r="U23" s="5">
        <f>IF(SUM(O23:T23)=SUM(U17:U22),SUM(U17:U22),"ERROR")</f>
        <v>203485</v>
      </c>
      <c r="V23" s="5">
        <f>IF((D23+G23+M23+N23+U23)=SUM(V17:V22),SUM(V17:V22),"ERROR")</f>
        <v>3868397</v>
      </c>
      <c r="W23" s="5">
        <f>SUM(W17:W22)</f>
        <v>834108</v>
      </c>
      <c r="X23" s="5">
        <f>SUM(X17:X22)</f>
        <v>2512530</v>
      </c>
      <c r="Y23" s="17">
        <f>SUM(Y17:Y22)</f>
        <v>81582</v>
      </c>
      <c r="Z23" s="17">
        <f>SUM(Z17:Z22)</f>
        <v>21332</v>
      </c>
      <c r="AA23" s="17">
        <f>SUM(AA17:AA22)</f>
        <v>33806</v>
      </c>
      <c r="AB23" s="5">
        <f>IF(SUM(Y23:AA23)=SUM(AB17:AB22),SUM(AB17:AB22),"ERROR")</f>
        <v>136720</v>
      </c>
      <c r="AC23" s="5">
        <f>SUM(AC17:AC22)</f>
        <v>0</v>
      </c>
      <c r="AD23" s="5">
        <f>SUM(AD17:AD22)</f>
        <v>486</v>
      </c>
      <c r="AE23" s="17">
        <f>SUM(AE17:AE22)</f>
        <v>385039</v>
      </c>
      <c r="AF23" s="17">
        <f>SUM(AF17:AF22)</f>
        <v>486</v>
      </c>
      <c r="AG23" s="5">
        <f>IF((AE23-AF23)=SUM(AG17:AG22),SUM(AG17:AG22),"ERROR")</f>
        <v>384553</v>
      </c>
      <c r="AH23" s="12">
        <f>SUM(AH18:AH21)</f>
        <v>3868397</v>
      </c>
      <c r="AI23" s="12" t="str">
        <f>IF(V23=AH23,"GOOD","ERROR")</f>
        <v>GOOD</v>
      </c>
    </row>
    <row r="24" spans="1:35" ht="16.8" x14ac:dyDescent="0.3">
      <c r="B24" s="17"/>
      <c r="C24" s="17"/>
      <c r="D24" s="5"/>
      <c r="E24" s="17"/>
      <c r="F24" s="17"/>
      <c r="G24" s="5"/>
      <c r="H24" s="17"/>
      <c r="I24" s="17"/>
      <c r="J24" s="17"/>
      <c r="K24" s="17"/>
      <c r="L24" s="17"/>
      <c r="M24" s="5"/>
      <c r="N24" s="5"/>
      <c r="O24" s="17"/>
      <c r="P24" s="17"/>
      <c r="Q24" s="17"/>
      <c r="R24" s="17"/>
      <c r="S24" s="17"/>
      <c r="T24" s="17"/>
      <c r="U24" s="5"/>
      <c r="V24" s="5"/>
      <c r="W24" s="5"/>
      <c r="X24" s="5"/>
      <c r="Y24" s="17"/>
      <c r="Z24" s="17"/>
      <c r="AA24" s="17"/>
      <c r="AB24" s="5"/>
      <c r="AC24" s="5"/>
      <c r="AD24" s="5"/>
      <c r="AE24" s="17"/>
      <c r="AF24" s="17"/>
      <c r="AG24" s="5"/>
      <c r="AH24" s="12"/>
    </row>
    <row r="25" spans="1:35" ht="16.8" x14ac:dyDescent="0.3">
      <c r="A25" s="4" t="s">
        <v>67</v>
      </c>
      <c r="B25" s="17">
        <f t="shared" ref="B25:AG25" si="4">B13+B23</f>
        <v>44332</v>
      </c>
      <c r="C25" s="17">
        <f t="shared" si="4"/>
        <v>424775</v>
      </c>
      <c r="D25" s="5">
        <f t="shared" si="4"/>
        <v>469107</v>
      </c>
      <c r="E25" s="17">
        <f t="shared" si="4"/>
        <v>38394</v>
      </c>
      <c r="F25" s="17">
        <f t="shared" si="4"/>
        <v>256314</v>
      </c>
      <c r="G25" s="5">
        <f t="shared" si="4"/>
        <v>294708</v>
      </c>
      <c r="H25" s="17">
        <f t="shared" ref="H25" si="5">H13+H23</f>
        <v>40553</v>
      </c>
      <c r="I25" s="17">
        <f t="shared" si="4"/>
        <v>164767</v>
      </c>
      <c r="J25" s="17">
        <f t="shared" si="4"/>
        <v>384553</v>
      </c>
      <c r="K25" s="17">
        <f t="shared" si="4"/>
        <v>35436</v>
      </c>
      <c r="L25" s="17">
        <f t="shared" si="4"/>
        <v>4039</v>
      </c>
      <c r="M25" s="5">
        <f t="shared" si="4"/>
        <v>629348</v>
      </c>
      <c r="N25" s="5">
        <f t="shared" si="4"/>
        <v>2771243</v>
      </c>
      <c r="O25" s="17">
        <f t="shared" si="4"/>
        <v>69156</v>
      </c>
      <c r="P25" s="17">
        <f t="shared" si="4"/>
        <v>0</v>
      </c>
      <c r="Q25" s="17">
        <f t="shared" si="4"/>
        <v>123</v>
      </c>
      <c r="R25" s="17">
        <f t="shared" si="4"/>
        <v>16579</v>
      </c>
      <c r="S25" s="17">
        <f t="shared" si="4"/>
        <v>22627</v>
      </c>
      <c r="T25" s="17">
        <f t="shared" si="4"/>
        <v>121147</v>
      </c>
      <c r="U25" s="5">
        <f t="shared" si="4"/>
        <v>229632</v>
      </c>
      <c r="V25" s="5">
        <f t="shared" si="4"/>
        <v>4394038</v>
      </c>
      <c r="W25" s="5">
        <f t="shared" si="4"/>
        <v>957778</v>
      </c>
      <c r="X25" s="5">
        <f t="shared" si="4"/>
        <v>2858840</v>
      </c>
      <c r="Y25" s="17">
        <f t="shared" si="4"/>
        <v>81582</v>
      </c>
      <c r="Z25" s="17">
        <f t="shared" si="4"/>
        <v>26543</v>
      </c>
      <c r="AA25" s="17">
        <f t="shared" si="4"/>
        <v>39711</v>
      </c>
      <c r="AB25" s="5">
        <f t="shared" si="4"/>
        <v>147836</v>
      </c>
      <c r="AC25" s="5">
        <f t="shared" si="4"/>
        <v>0</v>
      </c>
      <c r="AD25" s="5">
        <f t="shared" si="4"/>
        <v>486</v>
      </c>
      <c r="AE25" s="17">
        <f t="shared" si="4"/>
        <v>429584</v>
      </c>
      <c r="AF25" s="17">
        <f t="shared" si="4"/>
        <v>486</v>
      </c>
      <c r="AG25" s="5">
        <f t="shared" si="4"/>
        <v>429098</v>
      </c>
      <c r="AH25" s="12">
        <f>W25+X25+AB25+AC25+AD25+AG25</f>
        <v>4394038</v>
      </c>
      <c r="AI25" s="12" t="str">
        <f>IF(V25=AH25,"GOOD","ERROR")</f>
        <v>GOOD</v>
      </c>
    </row>
    <row r="26" spans="1:35" ht="16.8" x14ac:dyDescent="0.3">
      <c r="B26" s="17"/>
      <c r="C26" s="17"/>
      <c r="D26" s="5"/>
      <c r="E26" s="17"/>
      <c r="F26" s="17"/>
      <c r="G26" s="5"/>
      <c r="H26" s="17"/>
      <c r="I26" s="17"/>
      <c r="J26" s="17"/>
      <c r="K26" s="17"/>
      <c r="L26" s="17"/>
      <c r="M26" s="5"/>
      <c r="N26" s="5"/>
      <c r="O26" s="17"/>
      <c r="P26" s="17"/>
      <c r="Q26" s="17"/>
      <c r="R26" s="17"/>
      <c r="S26" s="17"/>
      <c r="T26" s="17"/>
      <c r="U26" s="5"/>
      <c r="V26" s="5"/>
      <c r="W26" s="5"/>
      <c r="X26" s="5"/>
      <c r="Y26" s="17"/>
      <c r="Z26" s="17"/>
      <c r="AA26" s="17"/>
      <c r="AB26" s="5"/>
      <c r="AC26" s="5"/>
      <c r="AD26" s="5"/>
      <c r="AE26" s="17"/>
      <c r="AF26" s="17"/>
      <c r="AG26" s="5"/>
      <c r="AH26" s="12"/>
    </row>
    <row r="27" spans="1:35" ht="16.8" x14ac:dyDescent="0.3">
      <c r="B27" s="17"/>
      <c r="C27" s="17"/>
      <c r="D27" s="5"/>
      <c r="E27" s="17"/>
      <c r="F27" s="17"/>
      <c r="G27" s="5"/>
      <c r="H27" s="17"/>
      <c r="I27" s="17"/>
      <c r="J27" s="17"/>
      <c r="K27" s="17"/>
      <c r="L27" s="17"/>
      <c r="M27" s="5"/>
      <c r="N27" s="5"/>
      <c r="O27" s="17"/>
      <c r="P27" s="17"/>
      <c r="Q27" s="17"/>
      <c r="R27" s="17"/>
      <c r="S27" s="17"/>
      <c r="T27" s="17"/>
      <c r="U27" s="5"/>
      <c r="V27" s="5"/>
      <c r="W27" s="5"/>
      <c r="X27" s="5"/>
      <c r="Y27" s="17"/>
      <c r="Z27" s="17"/>
      <c r="AA27" s="17"/>
      <c r="AB27" s="5"/>
      <c r="AC27" s="5"/>
      <c r="AD27" s="5"/>
      <c r="AE27" s="17"/>
      <c r="AF27" s="17"/>
      <c r="AG27" s="5"/>
      <c r="AH27" s="12"/>
    </row>
    <row r="28" spans="1:35" ht="16.8" x14ac:dyDescent="0.3">
      <c r="A28" s="4" t="s">
        <v>77</v>
      </c>
      <c r="B28" s="17"/>
      <c r="C28" s="17"/>
      <c r="D28" s="5"/>
      <c r="E28" s="17"/>
      <c r="F28" s="17"/>
      <c r="G28" s="5"/>
      <c r="H28" s="17"/>
      <c r="I28" s="17"/>
      <c r="J28" s="17"/>
      <c r="K28" s="17"/>
      <c r="L28" s="17"/>
      <c r="M28" s="5"/>
      <c r="N28" s="5"/>
      <c r="O28" s="17"/>
      <c r="P28" s="17"/>
      <c r="Q28" s="17"/>
      <c r="R28" s="17"/>
      <c r="S28" s="17"/>
      <c r="T28" s="17"/>
      <c r="U28" s="5"/>
      <c r="V28" s="5"/>
      <c r="W28" s="5"/>
      <c r="X28" s="5"/>
      <c r="Y28" s="17"/>
      <c r="Z28" s="17"/>
      <c r="AA28" s="17"/>
      <c r="AB28" s="5"/>
      <c r="AC28" s="5"/>
      <c r="AD28" s="5"/>
      <c r="AE28" s="17"/>
      <c r="AF28" s="17"/>
      <c r="AG28" s="5"/>
      <c r="AH28" s="12"/>
    </row>
    <row r="29" spans="1:35" ht="16.8" x14ac:dyDescent="0.3">
      <c r="B29" s="17"/>
      <c r="C29" s="17"/>
      <c r="D29" s="5"/>
      <c r="E29" s="17"/>
      <c r="F29" s="17"/>
      <c r="G29" s="5"/>
      <c r="H29" s="17"/>
      <c r="I29" s="17"/>
      <c r="J29" s="17"/>
      <c r="K29" s="17"/>
      <c r="L29" s="17"/>
      <c r="M29" s="5"/>
      <c r="N29" s="5"/>
      <c r="O29" s="17"/>
      <c r="P29" s="17"/>
      <c r="Q29" s="17"/>
      <c r="R29" s="17"/>
      <c r="S29" s="17"/>
      <c r="T29" s="17"/>
      <c r="U29" s="5"/>
      <c r="V29" s="5"/>
      <c r="W29" s="5"/>
      <c r="X29" s="5"/>
      <c r="Y29" s="17"/>
      <c r="Z29" s="17"/>
      <c r="AA29" s="17"/>
      <c r="AB29" s="5"/>
      <c r="AC29" s="5"/>
      <c r="AD29" s="5"/>
      <c r="AE29" s="17"/>
      <c r="AF29" s="17"/>
      <c r="AG29" s="5"/>
      <c r="AH29" s="12"/>
    </row>
    <row r="30" spans="1:35" ht="16.8" x14ac:dyDescent="0.3">
      <c r="A30" s="1" t="s">
        <v>64</v>
      </c>
      <c r="B30" s="17">
        <v>5331</v>
      </c>
      <c r="C30" s="17">
        <v>19376</v>
      </c>
      <c r="D30" s="5">
        <f>SUM(B30:C30)</f>
        <v>24707</v>
      </c>
      <c r="E30" s="17">
        <v>0</v>
      </c>
      <c r="F30" s="17">
        <v>40653</v>
      </c>
      <c r="G30" s="5">
        <f>SUM(E30:F30)</f>
        <v>40653</v>
      </c>
      <c r="H30" s="17"/>
      <c r="I30" s="17">
        <v>1370</v>
      </c>
      <c r="J30" s="17">
        <f>81+70281+18900+407</f>
        <v>89669</v>
      </c>
      <c r="K30" s="17">
        <v>0</v>
      </c>
      <c r="L30" s="17">
        <v>0</v>
      </c>
      <c r="M30" s="5">
        <f t="shared" ref="M30:M34" si="6">SUM(H30:L30)</f>
        <v>91039</v>
      </c>
      <c r="N30" s="5">
        <v>359857</v>
      </c>
      <c r="O30" s="17">
        <v>5524</v>
      </c>
      <c r="P30" s="17">
        <v>0</v>
      </c>
      <c r="Q30" s="17">
        <v>0</v>
      </c>
      <c r="R30" s="17">
        <v>0</v>
      </c>
      <c r="S30" s="17">
        <v>104</v>
      </c>
      <c r="T30" s="17">
        <v>20975</v>
      </c>
      <c r="U30" s="5">
        <f>SUM(O30:T30)</f>
        <v>26603</v>
      </c>
      <c r="V30" s="5">
        <f>U30+N30+G30+M30+D30</f>
        <v>542859</v>
      </c>
      <c r="W30" s="5">
        <v>99853</v>
      </c>
      <c r="X30" s="5">
        <v>353674</v>
      </c>
      <c r="Y30" s="17"/>
      <c r="Z30" s="17">
        <v>26500</v>
      </c>
      <c r="AA30" s="17">
        <v>8585</v>
      </c>
      <c r="AB30" s="5">
        <f>SUM(Y30:AA30)</f>
        <v>35085</v>
      </c>
      <c r="AC30" s="5">
        <v>0</v>
      </c>
      <c r="AD30" s="5">
        <v>0</v>
      </c>
      <c r="AE30" s="17">
        <v>54247</v>
      </c>
      <c r="AF30" s="17">
        <v>0</v>
      </c>
      <c r="AG30" s="5">
        <f>AE30-AF30</f>
        <v>54247</v>
      </c>
      <c r="AH30" s="12">
        <f>W30+X30+AB30+AC30+AD30+AG30</f>
        <v>542859</v>
      </c>
      <c r="AI30" s="12" t="str">
        <f>IF(V30=AH30,"GOOD","ERROR")</f>
        <v>GOOD</v>
      </c>
    </row>
    <row r="31" spans="1:35" ht="16.8" x14ac:dyDescent="0.3">
      <c r="A31" s="1" t="s">
        <v>47</v>
      </c>
      <c r="B31" s="17">
        <v>17839</v>
      </c>
      <c r="C31" s="17">
        <v>99095</v>
      </c>
      <c r="D31" s="5">
        <f>SUM(B31:C31)</f>
        <v>116934</v>
      </c>
      <c r="E31" s="17">
        <v>32041</v>
      </c>
      <c r="F31" s="17">
        <v>15376</v>
      </c>
      <c r="G31" s="5">
        <f>SUM(E31:F31)</f>
        <v>47417</v>
      </c>
      <c r="H31" s="17"/>
      <c r="I31" s="17">
        <v>1130</v>
      </c>
      <c r="J31" s="17">
        <f>123338+2461+1421</f>
        <v>127220</v>
      </c>
      <c r="K31" s="17">
        <v>0</v>
      </c>
      <c r="L31" s="17">
        <v>0</v>
      </c>
      <c r="M31" s="5">
        <f t="shared" si="6"/>
        <v>128350</v>
      </c>
      <c r="N31" s="5">
        <f>339+682241</f>
        <v>682580</v>
      </c>
      <c r="O31" s="17">
        <v>13767</v>
      </c>
      <c r="P31" s="17">
        <v>0</v>
      </c>
      <c r="Q31" s="17">
        <v>3172</v>
      </c>
      <c r="R31" s="17">
        <v>0</v>
      </c>
      <c r="S31" s="17">
        <v>12472</v>
      </c>
      <c r="T31" s="17">
        <v>13841</v>
      </c>
      <c r="U31" s="5">
        <f>SUM(O31:T31)</f>
        <v>43252</v>
      </c>
      <c r="V31" s="5">
        <f>U31+N31+G31+M31+D31</f>
        <v>1018533</v>
      </c>
      <c r="W31" s="5">
        <v>44195</v>
      </c>
      <c r="X31" s="5">
        <v>836113</v>
      </c>
      <c r="Y31" s="17">
        <v>32610</v>
      </c>
      <c r="Z31" s="17">
        <v>5158</v>
      </c>
      <c r="AA31" s="17">
        <v>3396</v>
      </c>
      <c r="AB31" s="5">
        <f>SUM(Y31:AA31)</f>
        <v>41164</v>
      </c>
      <c r="AC31" s="5">
        <v>0</v>
      </c>
      <c r="AD31" s="5">
        <v>350</v>
      </c>
      <c r="AE31" s="17">
        <v>97061</v>
      </c>
      <c r="AF31" s="17">
        <v>350</v>
      </c>
      <c r="AG31" s="5">
        <f>AE31-AF31</f>
        <v>96711</v>
      </c>
      <c r="AH31" s="12">
        <f>W31+X31+AB31+AC31+AD31+AG31</f>
        <v>1018533</v>
      </c>
      <c r="AI31" s="12" t="str">
        <f>IF(V31=AH31,"GOOD","ERROR")</f>
        <v>GOOD</v>
      </c>
    </row>
    <row r="32" spans="1:35" ht="16.8" x14ac:dyDescent="0.3">
      <c r="A32" s="1" t="s">
        <v>48</v>
      </c>
      <c r="B32" s="17">
        <v>1459</v>
      </c>
      <c r="C32" s="17">
        <v>20942</v>
      </c>
      <c r="D32" s="5">
        <f>SUM(B32:C32)</f>
        <v>22401</v>
      </c>
      <c r="E32" s="17">
        <v>0</v>
      </c>
      <c r="F32" s="17">
        <v>0</v>
      </c>
      <c r="G32" s="5">
        <f>SUM(E32:F32)</f>
        <v>0</v>
      </c>
      <c r="H32" s="17"/>
      <c r="I32" s="17">
        <v>0</v>
      </c>
      <c r="J32" s="17">
        <v>0</v>
      </c>
      <c r="K32" s="17">
        <v>0</v>
      </c>
      <c r="L32" s="17">
        <v>0</v>
      </c>
      <c r="M32" s="5">
        <f t="shared" si="6"/>
        <v>0</v>
      </c>
      <c r="N32" s="5">
        <v>60220</v>
      </c>
      <c r="O32" s="17">
        <v>2212</v>
      </c>
      <c r="P32" s="17">
        <v>0</v>
      </c>
      <c r="Q32" s="17">
        <v>0</v>
      </c>
      <c r="R32" s="17">
        <v>0</v>
      </c>
      <c r="S32" s="17">
        <v>0</v>
      </c>
      <c r="T32" s="17">
        <v>515</v>
      </c>
      <c r="U32" s="5">
        <f>SUM(O32:T32)</f>
        <v>2727</v>
      </c>
      <c r="V32" s="5">
        <f>U32+N32+G32+M32+D32</f>
        <v>85348</v>
      </c>
      <c r="W32" s="5">
        <v>19991</v>
      </c>
      <c r="X32" s="5">
        <v>57080</v>
      </c>
      <c r="Y32" s="17">
        <v>0</v>
      </c>
      <c r="Z32" s="17">
        <v>0</v>
      </c>
      <c r="AA32" s="17">
        <v>397</v>
      </c>
      <c r="AB32" s="5">
        <f>SUM(Y32:AA32)</f>
        <v>397</v>
      </c>
      <c r="AC32" s="5">
        <v>0</v>
      </c>
      <c r="AD32" s="5">
        <v>50</v>
      </c>
      <c r="AE32" s="17">
        <v>7880</v>
      </c>
      <c r="AF32" s="17">
        <v>50</v>
      </c>
      <c r="AG32" s="5">
        <f>AE32-AF32</f>
        <v>7830</v>
      </c>
      <c r="AH32" s="12">
        <f>W32+X32+AB32+AC32+AD32+AG32</f>
        <v>85348</v>
      </c>
      <c r="AI32" s="12" t="str">
        <f>IF(V32=AH32,"GOOD","ERROR")</f>
        <v>GOOD</v>
      </c>
    </row>
    <row r="33" spans="1:35" ht="16.8" x14ac:dyDescent="0.3">
      <c r="A33" s="1" t="s">
        <v>62</v>
      </c>
      <c r="B33" s="17">
        <v>2667</v>
      </c>
      <c r="C33" s="17">
        <v>14648</v>
      </c>
      <c r="D33" s="5">
        <f>SUM(B33:C33)</f>
        <v>17315</v>
      </c>
      <c r="E33" s="17">
        <v>0</v>
      </c>
      <c r="F33" s="17">
        <v>55404</v>
      </c>
      <c r="G33" s="5">
        <f>SUM(E33:F33)</f>
        <v>55404</v>
      </c>
      <c r="H33" s="17"/>
      <c r="I33" s="17">
        <v>214101</v>
      </c>
      <c r="J33" s="17">
        <f>3404+40924</f>
        <v>44328</v>
      </c>
      <c r="K33" s="17">
        <v>35544</v>
      </c>
      <c r="L33" s="17">
        <v>625</v>
      </c>
      <c r="M33" s="5">
        <f t="shared" si="6"/>
        <v>294598</v>
      </c>
      <c r="N33" s="5">
        <f>114+355099</f>
        <v>355213</v>
      </c>
      <c r="O33" s="17">
        <v>16687</v>
      </c>
      <c r="P33" s="17">
        <v>0</v>
      </c>
      <c r="Q33" s="17">
        <v>0</v>
      </c>
      <c r="R33" s="17">
        <v>0</v>
      </c>
      <c r="S33" s="17">
        <v>0</v>
      </c>
      <c r="T33" s="17">
        <v>29528</v>
      </c>
      <c r="U33" s="5">
        <f>SUM(O33:T33)</f>
        <v>46215</v>
      </c>
      <c r="V33" s="5">
        <f>U33+N33+G33+M33+D33</f>
        <v>768745</v>
      </c>
      <c r="W33" s="5">
        <v>223437</v>
      </c>
      <c r="X33" s="5">
        <v>453046</v>
      </c>
      <c r="Y33" s="17">
        <v>951</v>
      </c>
      <c r="Z33" s="17">
        <v>10471</v>
      </c>
      <c r="AA33" s="17">
        <v>10703</v>
      </c>
      <c r="AB33" s="5">
        <f>SUM(Y33:AA33)</f>
        <v>22125</v>
      </c>
      <c r="AC33" s="5">
        <v>0</v>
      </c>
      <c r="AD33" s="5">
        <v>1048</v>
      </c>
      <c r="AE33" s="17">
        <v>70137</v>
      </c>
      <c r="AF33" s="17">
        <v>1048</v>
      </c>
      <c r="AG33" s="5">
        <f>AE33-AF33</f>
        <v>69089</v>
      </c>
      <c r="AH33" s="12">
        <f>W33+X33+AB33+AC33+AD33+AG33</f>
        <v>768745</v>
      </c>
      <c r="AI33" s="12" t="str">
        <f>IF(V33=AH33,"GOOD","ERROR")</f>
        <v>GOOD</v>
      </c>
    </row>
    <row r="34" spans="1:35" ht="16.8" x14ac:dyDescent="0.3">
      <c r="A34" s="1" t="s">
        <v>49</v>
      </c>
      <c r="B34" s="17">
        <v>7269</v>
      </c>
      <c r="C34" s="17">
        <v>56126</v>
      </c>
      <c r="D34" s="5">
        <f>SUM(B34:C34)</f>
        <v>63395</v>
      </c>
      <c r="E34" s="17"/>
      <c r="F34" s="17">
        <v>23365</v>
      </c>
      <c r="G34" s="5">
        <f>SUM(E34:F34)</f>
        <v>23365</v>
      </c>
      <c r="H34" s="17"/>
      <c r="I34" s="17">
        <v>31064</v>
      </c>
      <c r="J34" s="17">
        <f>684+104483+17837+132</f>
        <v>123136</v>
      </c>
      <c r="K34" s="17">
        <v>1003</v>
      </c>
      <c r="L34" s="17">
        <v>0</v>
      </c>
      <c r="M34" s="5">
        <f t="shared" si="6"/>
        <v>155203</v>
      </c>
      <c r="N34" s="5">
        <f>892+279898</f>
        <v>280790</v>
      </c>
      <c r="O34" s="17">
        <v>9125</v>
      </c>
      <c r="P34" s="17">
        <v>0</v>
      </c>
      <c r="Q34" s="17">
        <v>3456</v>
      </c>
      <c r="R34" s="17">
        <v>0</v>
      </c>
      <c r="S34" s="17">
        <v>788</v>
      </c>
      <c r="T34" s="17">
        <v>12564</v>
      </c>
      <c r="U34" s="5">
        <f>SUM(O34:T34)</f>
        <v>25933</v>
      </c>
      <c r="V34" s="5">
        <f>U34+N34+G34+M34+D34</f>
        <v>548686</v>
      </c>
      <c r="W34" s="5">
        <v>19550</v>
      </c>
      <c r="X34" s="5">
        <v>455582</v>
      </c>
      <c r="Y34" s="17">
        <v>0</v>
      </c>
      <c r="Z34" s="17">
        <v>26365</v>
      </c>
      <c r="AA34" s="17">
        <v>6091</v>
      </c>
      <c r="AB34" s="5">
        <f>SUM(Y34:AA34)</f>
        <v>32456</v>
      </c>
      <c r="AC34" s="5">
        <v>0</v>
      </c>
      <c r="AD34" s="5">
        <v>400</v>
      </c>
      <c r="AE34" s="17">
        <v>41098</v>
      </c>
      <c r="AF34" s="17">
        <v>400</v>
      </c>
      <c r="AG34" s="5">
        <f>AE34-AF34</f>
        <v>40698</v>
      </c>
      <c r="AH34" s="12">
        <f>W34+X34+AB34+AC34+AD34+AG34</f>
        <v>548686</v>
      </c>
      <c r="AI34" s="12" t="str">
        <f>IF(V34=AH34,"GOOD","ERROR")</f>
        <v>GOOD</v>
      </c>
    </row>
    <row r="35" spans="1:35" ht="16.8" x14ac:dyDescent="0.3">
      <c r="B35" s="17"/>
      <c r="C35" s="17"/>
      <c r="D35" s="5"/>
      <c r="E35" s="17"/>
      <c r="F35" s="17"/>
      <c r="G35" s="5"/>
      <c r="H35" s="17"/>
      <c r="I35" s="17"/>
      <c r="J35" s="17"/>
      <c r="K35" s="17"/>
      <c r="L35" s="17"/>
      <c r="M35" s="5"/>
      <c r="N35" s="5"/>
      <c r="O35" s="17"/>
      <c r="P35" s="17"/>
      <c r="Q35" s="17"/>
      <c r="R35" s="17"/>
      <c r="S35" s="17"/>
      <c r="T35" s="17"/>
      <c r="U35" s="5"/>
      <c r="V35" s="5"/>
      <c r="W35" s="5"/>
      <c r="X35" s="5"/>
      <c r="Y35" s="17"/>
      <c r="Z35" s="17"/>
      <c r="AA35" s="17"/>
      <c r="AB35" s="5"/>
      <c r="AC35" s="5"/>
      <c r="AD35" s="5"/>
      <c r="AE35" s="17"/>
      <c r="AF35" s="17"/>
      <c r="AG35" s="5"/>
      <c r="AH35" s="12"/>
    </row>
    <row r="36" spans="1:35" ht="16.8" x14ac:dyDescent="0.3">
      <c r="A36" s="1" t="s">
        <v>50</v>
      </c>
      <c r="B36" s="17">
        <f>SUM(B29:B35)</f>
        <v>34565</v>
      </c>
      <c r="C36" s="17">
        <f>SUM(C29:C35)</f>
        <v>210187</v>
      </c>
      <c r="D36" s="5">
        <f>IF(SUM(B36:C36)=SUM(D29:D35),SUM(D29:D35),"ERROR")</f>
        <v>244752</v>
      </c>
      <c r="E36" s="17">
        <f>SUM(E29:E35)</f>
        <v>32041</v>
      </c>
      <c r="F36" s="17">
        <f>SUM(F29:F35)</f>
        <v>134798</v>
      </c>
      <c r="G36" s="5">
        <f>IF(SUM(E36:F36)=SUM(G29:G35),SUM(G29:G35),"ERROR")</f>
        <v>166839</v>
      </c>
      <c r="H36" s="17">
        <f>SUM(H29:H35)</f>
        <v>0</v>
      </c>
      <c r="I36" s="17">
        <f>SUM(I29:I35)</f>
        <v>247665</v>
      </c>
      <c r="J36" s="17">
        <f>SUM(J29:J35)</f>
        <v>384353</v>
      </c>
      <c r="K36" s="17">
        <f>SUM(K29:K35)</f>
        <v>36547</v>
      </c>
      <c r="L36" s="17">
        <f>SUM(L29:L35)</f>
        <v>625</v>
      </c>
      <c r="M36" s="5">
        <f>IF(SUM(H36:L36)=SUM(M29:M35),SUM(M29:M35),"ERROR")</f>
        <v>669190</v>
      </c>
      <c r="N36" s="5">
        <f t="shared" ref="N36:T36" si="7">SUM(N29:N35)</f>
        <v>1738660</v>
      </c>
      <c r="O36" s="17">
        <f t="shared" si="7"/>
        <v>47315</v>
      </c>
      <c r="P36" s="17">
        <f t="shared" si="7"/>
        <v>0</v>
      </c>
      <c r="Q36" s="17">
        <f t="shared" si="7"/>
        <v>6628</v>
      </c>
      <c r="R36" s="17">
        <f t="shared" si="7"/>
        <v>0</v>
      </c>
      <c r="S36" s="17">
        <f t="shared" si="7"/>
        <v>13364</v>
      </c>
      <c r="T36" s="17">
        <f t="shared" si="7"/>
        <v>77423</v>
      </c>
      <c r="U36" s="5">
        <f>IF(SUM(O36:T36)=SUM(U29:U35),SUM(U29:U35),"ERROR")</f>
        <v>144730</v>
      </c>
      <c r="V36" s="5">
        <f>IF((D36+G36+M36+N36+U36)=SUM(V29:V35),SUM(V29:V35),"ERROR")</f>
        <v>2964171</v>
      </c>
      <c r="W36" s="5">
        <f>SUM(W29:W35)</f>
        <v>407026</v>
      </c>
      <c r="X36" s="5">
        <f>SUM(X29:X35)</f>
        <v>2155495</v>
      </c>
      <c r="Y36" s="17">
        <f>SUM(Y29:Y35)</f>
        <v>33561</v>
      </c>
      <c r="Z36" s="17">
        <f>SUM(Z29:Z35)</f>
        <v>68494</v>
      </c>
      <c r="AA36" s="17">
        <f>SUM(AA29:AA35)</f>
        <v>29172</v>
      </c>
      <c r="AB36" s="5">
        <f>IF(SUM(Y36:AA36)=SUM(AB29:AB35),SUM(AB29:AB35),"ERROR")</f>
        <v>131227</v>
      </c>
      <c r="AC36" s="5">
        <f>SUM(AC29:AC35)</f>
        <v>0</v>
      </c>
      <c r="AD36" s="5">
        <f>SUM(AD29:AD35)</f>
        <v>1848</v>
      </c>
      <c r="AE36" s="17">
        <f>SUM(AE29:AE35)</f>
        <v>270423</v>
      </c>
      <c r="AF36" s="17">
        <f>SUM(AF29:AF35)</f>
        <v>1848</v>
      </c>
      <c r="AG36" s="5">
        <f>IF((AE36-AF36)=SUM(AG29:AG35),SUM(AG29:AG35),"ERROR")</f>
        <v>268575</v>
      </c>
      <c r="AH36" s="12">
        <f>SUM(AH30:AH35)</f>
        <v>2964171</v>
      </c>
      <c r="AI36" s="12" t="str">
        <f>IF(V36=AH36,"GOOD","ERROR")</f>
        <v>GOOD</v>
      </c>
    </row>
    <row r="37" spans="1:35" ht="16.8" x14ac:dyDescent="0.3">
      <c r="B37" s="17"/>
      <c r="C37" s="17"/>
      <c r="D37" s="5"/>
      <c r="E37" s="17"/>
      <c r="F37" s="17"/>
      <c r="G37" s="5"/>
      <c r="H37" s="17"/>
      <c r="I37" s="17"/>
      <c r="J37" s="17"/>
      <c r="K37" s="17"/>
      <c r="L37" s="17"/>
      <c r="M37" s="5"/>
      <c r="N37" s="5"/>
      <c r="O37" s="17"/>
      <c r="P37" s="17"/>
      <c r="Q37" s="17"/>
      <c r="R37" s="17"/>
      <c r="S37" s="17"/>
      <c r="T37" s="17"/>
      <c r="U37" s="5"/>
      <c r="V37" s="5"/>
      <c r="W37" s="5"/>
      <c r="X37" s="5"/>
      <c r="Y37" s="17"/>
      <c r="Z37" s="17"/>
      <c r="AA37" s="17"/>
      <c r="AB37" s="5"/>
      <c r="AC37" s="5"/>
      <c r="AD37" s="5"/>
      <c r="AE37" s="17"/>
      <c r="AF37" s="17"/>
      <c r="AG37" s="5"/>
      <c r="AH37" s="12"/>
    </row>
    <row r="38" spans="1:35" ht="16.8" x14ac:dyDescent="0.3">
      <c r="A38" s="13" t="s">
        <v>68</v>
      </c>
      <c r="B38" s="17">
        <f t="shared" ref="B38:AH38" si="8">B25+B36</f>
        <v>78897</v>
      </c>
      <c r="C38" s="17">
        <f t="shared" si="8"/>
        <v>634962</v>
      </c>
      <c r="D38" s="14">
        <f t="shared" si="8"/>
        <v>713859</v>
      </c>
      <c r="E38" s="17">
        <f t="shared" si="8"/>
        <v>70435</v>
      </c>
      <c r="F38" s="17">
        <f t="shared" si="8"/>
        <v>391112</v>
      </c>
      <c r="G38" s="14">
        <f t="shared" si="8"/>
        <v>461547</v>
      </c>
      <c r="H38" s="17">
        <f t="shared" ref="H38" si="9">H25+H36</f>
        <v>40553</v>
      </c>
      <c r="I38" s="17">
        <f t="shared" si="8"/>
        <v>412432</v>
      </c>
      <c r="J38" s="17">
        <f t="shared" si="8"/>
        <v>768906</v>
      </c>
      <c r="K38" s="17">
        <f t="shared" si="8"/>
        <v>71983</v>
      </c>
      <c r="L38" s="17">
        <f t="shared" si="8"/>
        <v>4664</v>
      </c>
      <c r="M38" s="14">
        <f t="shared" si="8"/>
        <v>1298538</v>
      </c>
      <c r="N38" s="14">
        <f t="shared" si="8"/>
        <v>4509903</v>
      </c>
      <c r="O38" s="17">
        <f t="shared" si="8"/>
        <v>116471</v>
      </c>
      <c r="P38" s="17">
        <f t="shared" si="8"/>
        <v>0</v>
      </c>
      <c r="Q38" s="17">
        <f t="shared" si="8"/>
        <v>6751</v>
      </c>
      <c r="R38" s="17">
        <f t="shared" si="8"/>
        <v>16579</v>
      </c>
      <c r="S38" s="17">
        <f t="shared" si="8"/>
        <v>35991</v>
      </c>
      <c r="T38" s="17">
        <f t="shared" si="8"/>
        <v>198570</v>
      </c>
      <c r="U38" s="14">
        <f t="shared" si="8"/>
        <v>374362</v>
      </c>
      <c r="V38" s="14">
        <f t="shared" si="8"/>
        <v>7358209</v>
      </c>
      <c r="W38" s="14">
        <f t="shared" si="8"/>
        <v>1364804</v>
      </c>
      <c r="X38" s="14">
        <f t="shared" si="8"/>
        <v>5014335</v>
      </c>
      <c r="Y38" s="17">
        <f t="shared" si="8"/>
        <v>115143</v>
      </c>
      <c r="Z38" s="17">
        <f t="shared" si="8"/>
        <v>95037</v>
      </c>
      <c r="AA38" s="17">
        <f t="shared" si="8"/>
        <v>68883</v>
      </c>
      <c r="AB38" s="14">
        <f t="shared" si="8"/>
        <v>279063</v>
      </c>
      <c r="AC38" s="14">
        <f t="shared" si="8"/>
        <v>0</v>
      </c>
      <c r="AD38" s="14">
        <f t="shared" si="8"/>
        <v>2334</v>
      </c>
      <c r="AE38" s="17">
        <f t="shared" si="8"/>
        <v>700007</v>
      </c>
      <c r="AF38" s="17">
        <f t="shared" si="8"/>
        <v>2334</v>
      </c>
      <c r="AG38" s="14">
        <f t="shared" si="8"/>
        <v>697673</v>
      </c>
      <c r="AH38" s="12">
        <f t="shared" si="8"/>
        <v>7358209</v>
      </c>
      <c r="AI38" s="12" t="str">
        <f>IF(V38=AH38,"GOOD","ERROR")</f>
        <v>GOOD</v>
      </c>
    </row>
    <row r="41" spans="1:35" x14ac:dyDescent="0.3">
      <c r="A41" s="1" t="s">
        <v>63</v>
      </c>
    </row>
    <row r="43" spans="1:35" x14ac:dyDescent="0.3">
      <c r="A43" s="16"/>
    </row>
  </sheetData>
  <phoneticPr fontId="8" type="noConversion"/>
  <pageMargins left="1" right="0.5" top="0.5" bottom="0.55000000000000004" header="0.5" footer="0.5"/>
  <pageSetup scale="52" fitToHeight="2" orientation="landscape" r:id="rId1"/>
  <headerFooter alignWithMargins="0"/>
  <ignoredErrors>
    <ignoredError sqref="U18 U20 U30 U32 AB30:AB34 AB10:AB12 AB35 AB37:AB38 AB24:AB29 AB14:AB22" formulaRange="1"/>
    <ignoredError sqref="D13 D23 D36 G13 G23 G36 M13 M23 M36" formula="1"/>
    <ignoredError sqref="AB13 AB23 AB36" formula="1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afd0b30-9f70-4771-9d77-11b312ea7c49">
      <Terms xmlns="http://schemas.microsoft.com/office/infopath/2007/PartnerControls"/>
    </lcf76f155ced4ddcb4097134ff3c332f>
    <TaxCatchAll xmlns="770b0849-1567-42a8-9e8c-3e26d18d1bf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22C07FA27827458AA5D61B0BC1A66D" ma:contentTypeVersion="18" ma:contentTypeDescription="Create a new document." ma:contentTypeScope="" ma:versionID="c29f33006f3520c45b6831913b534b2c">
  <xsd:schema xmlns:xsd="http://www.w3.org/2001/XMLSchema" xmlns:xs="http://www.w3.org/2001/XMLSchema" xmlns:p="http://schemas.microsoft.com/office/2006/metadata/properties" xmlns:ns1="http://schemas.microsoft.com/sharepoint/v3" xmlns:ns2="9afd0b30-9f70-4771-9d77-11b312ea7c49" xmlns:ns3="770b0849-1567-42a8-9e8c-3e26d18d1bf0" targetNamespace="http://schemas.microsoft.com/office/2006/metadata/properties" ma:root="true" ma:fieldsID="3cb97f64f281782721487358ae73dc70" ns1:_="" ns2:_="" ns3:_="">
    <xsd:import namespace="http://schemas.microsoft.com/sharepoint/v3"/>
    <xsd:import namespace="9afd0b30-9f70-4771-9d77-11b312ea7c49"/>
    <xsd:import namespace="770b0849-1567-42a8-9e8c-3e26d18d1b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fd0b30-9f70-4771-9d77-11b312ea7c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b405ef0-1b2e-414d-886f-c62305e768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b0849-1567-42a8-9e8c-3e26d18d1bf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697e4da9-e3c0-43f7-ad49-4a09b13804a5}" ma:internalName="TaxCatchAll" ma:showField="CatchAllData" ma:web="770b0849-1567-42a8-9e8c-3e26d18d1b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F76549-9D69-4940-A1F7-38BE07A099AA}">
  <ds:schemaRefs>
    <ds:schemaRef ds:uri="http://purl.org/dc/elements/1.1/"/>
    <ds:schemaRef ds:uri="284f5044-7891-4dcb-a4ce-8cacddd3fa5f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e97105f5-e1dc-49f0-a421-45d5cba715f8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76C41FA-46A1-4729-B95C-BB25FDAC38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AF6574-7591-4255-8F0F-9773F64312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Comparative</vt:lpstr>
      <vt:lpstr>Condensed</vt:lpstr>
      <vt:lpstr>Comparative!Print_Area</vt:lpstr>
      <vt:lpstr>Condensed!Print_Area</vt:lpstr>
      <vt:lpstr>Condensed!Print_Area_MI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 Pike</dc:creator>
  <cp:lastModifiedBy>Brackin, Stephanie</cp:lastModifiedBy>
  <cp:lastPrinted>2022-06-16T16:55:40Z</cp:lastPrinted>
  <dcterms:created xsi:type="dcterms:W3CDTF">2000-02-28T19:44:28Z</dcterms:created>
  <dcterms:modified xsi:type="dcterms:W3CDTF">2022-06-29T17:16:28Z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0x0101003822C07FA27827458AA5D61B0BC1A66D</vt:lpwstr>
  </property>
  <property fmtid="{D5CDD505-2E9C-101B-9397-08002B2CF9AE}" pid="3" name="MediaServiceImageTags">
    <vt:lpwstr/>
  </property>
</Properties>
</file>