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DFR-Admin/Shared Documents/Public Information/website/website-management/documents-uploaded/"/>
    </mc:Choice>
  </mc:AlternateContent>
  <xr:revisionPtr revIDLastSave="0" documentId="8_{BB077B90-F35D-4751-91CE-1D865EB2EF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put Sheet" sheetId="1" r:id="rId1"/>
    <sheet name="Printed Page" sheetId="2" r:id="rId2"/>
  </sheets>
  <definedNames>
    <definedName name="_xlnm.Print_Area" localSheetId="1">'Printed Page'!$A$1:$I$59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1" l="1"/>
  <c r="AB18" i="1"/>
  <c r="N18" i="1"/>
  <c r="AC9" i="1"/>
  <c r="N9" i="1"/>
  <c r="AC8" i="1"/>
  <c r="AB8" i="1"/>
  <c r="N8" i="1"/>
  <c r="AZ20" i="1"/>
  <c r="BB20" i="1" s="1"/>
  <c r="AC20" i="1"/>
  <c r="AE20" i="1" s="1"/>
  <c r="N20" i="1"/>
  <c r="S20" i="1" s="1"/>
  <c r="AC19" i="1"/>
  <c r="AB19" i="1"/>
  <c r="N19" i="1"/>
  <c r="AZ21" i="1"/>
  <c r="AK21" i="1"/>
  <c r="AM21" i="1" s="1"/>
  <c r="AC21" i="1"/>
  <c r="N21" i="1"/>
  <c r="S21" i="1" s="1"/>
  <c r="AM19" i="1"/>
  <c r="AA23" i="1"/>
  <c r="N11" i="1"/>
  <c r="E25" i="2" s="1"/>
  <c r="S18" i="1"/>
  <c r="AE9" i="1"/>
  <c r="AK23" i="1"/>
  <c r="G45" i="2" s="1"/>
  <c r="S19" i="1"/>
  <c r="BB21" i="1"/>
  <c r="S9" i="1"/>
  <c r="AC11" i="1"/>
  <c r="BB8" i="1"/>
  <c r="L8" i="1"/>
  <c r="AM8" i="1"/>
  <c r="AX11" i="1"/>
  <c r="AY11" i="1"/>
  <c r="E53" i="2" s="1"/>
  <c r="AZ11" i="1"/>
  <c r="E54" i="2" s="1"/>
  <c r="AW11" i="1"/>
  <c r="E52" i="2" s="1"/>
  <c r="BB9" i="1"/>
  <c r="L9" i="1"/>
  <c r="AM9" i="1"/>
  <c r="AS11" i="1"/>
  <c r="E47" i="2" s="1"/>
  <c r="AQ11" i="1"/>
  <c r="E48" i="2" s="1"/>
  <c r="AI11" i="1"/>
  <c r="E44" i="2" s="1"/>
  <c r="AJ11" i="1"/>
  <c r="E43" i="2" s="1"/>
  <c r="AK11" i="1"/>
  <c r="E45" i="2" s="1"/>
  <c r="AG11" i="1"/>
  <c r="E46" i="2" s="1"/>
  <c r="Y11" i="1"/>
  <c r="Z11" i="1"/>
  <c r="AA11" i="1"/>
  <c r="W11" i="1"/>
  <c r="E34" i="2" s="1"/>
  <c r="Q11" i="1"/>
  <c r="E26" i="2" s="1"/>
  <c r="P11" i="1"/>
  <c r="E27" i="2" s="1"/>
  <c r="O11" i="1"/>
  <c r="E29" i="2" s="1"/>
  <c r="B11" i="1"/>
  <c r="E10" i="2" s="1"/>
  <c r="C11" i="1"/>
  <c r="E11" i="2" s="1"/>
  <c r="D11" i="1"/>
  <c r="E19" i="2" s="1"/>
  <c r="E11" i="1"/>
  <c r="E12" i="2" s="1"/>
  <c r="F11" i="1"/>
  <c r="E13" i="2"/>
  <c r="G11" i="1"/>
  <c r="E14" i="2" s="1"/>
  <c r="H11" i="1"/>
  <c r="E15" i="2" s="1"/>
  <c r="I11" i="1"/>
  <c r="E17" i="2" s="1"/>
  <c r="J11" i="1"/>
  <c r="E20" i="2" s="1"/>
  <c r="L18" i="1"/>
  <c r="AM18" i="1"/>
  <c r="BB18" i="1"/>
  <c r="L19" i="1"/>
  <c r="BB19" i="1"/>
  <c r="L20" i="1"/>
  <c r="AM20" i="1"/>
  <c r="L21" i="1"/>
  <c r="B23" i="1"/>
  <c r="G10" i="2" s="1"/>
  <c r="C23" i="1"/>
  <c r="G11" i="2" s="1"/>
  <c r="D23" i="1"/>
  <c r="G19" i="2" s="1"/>
  <c r="E23" i="1"/>
  <c r="G12" i="2" s="1"/>
  <c r="F23" i="1"/>
  <c r="G13" i="2" s="1"/>
  <c r="G23" i="1"/>
  <c r="G14" i="2" s="1"/>
  <c r="H23" i="1"/>
  <c r="G15" i="2" s="1"/>
  <c r="I23" i="1"/>
  <c r="G17" i="2" s="1"/>
  <c r="J23" i="1"/>
  <c r="G20" i="2" s="1"/>
  <c r="O23" i="1"/>
  <c r="G29" i="2" s="1"/>
  <c r="P23" i="1"/>
  <c r="G27" i="2" s="1"/>
  <c r="Q23" i="1"/>
  <c r="G26" i="2" s="1"/>
  <c r="W23" i="1"/>
  <c r="G34" i="2" s="1"/>
  <c r="Y23" i="1"/>
  <c r="Z23" i="1"/>
  <c r="AI23" i="1"/>
  <c r="G44" i="2" s="1"/>
  <c r="AJ23" i="1"/>
  <c r="G43" i="2" s="1"/>
  <c r="AQ23" i="1"/>
  <c r="G48" i="2" s="1"/>
  <c r="AS23" i="1"/>
  <c r="G47" i="2" s="1"/>
  <c r="AW23" i="1"/>
  <c r="G52" i="2" s="1"/>
  <c r="AX23" i="1"/>
  <c r="AY23" i="1"/>
  <c r="G53" i="2" s="1"/>
  <c r="AG23" i="1"/>
  <c r="G46" i="2" s="1"/>
  <c r="AB23" i="1" l="1"/>
  <c r="AE8" i="1"/>
  <c r="AC23" i="1"/>
  <c r="G40" i="2" s="1"/>
  <c r="AE21" i="1"/>
  <c r="I26" i="2"/>
  <c r="AZ23" i="1"/>
  <c r="G54" i="2" s="1"/>
  <c r="I54" i="2" s="1"/>
  <c r="U20" i="1"/>
  <c r="AO20" i="1" s="1"/>
  <c r="AU20" i="1" s="1"/>
  <c r="AE19" i="1"/>
  <c r="AM23" i="1"/>
  <c r="U21" i="1"/>
  <c r="U19" i="1"/>
  <c r="I47" i="2"/>
  <c r="G39" i="2"/>
  <c r="AE18" i="1"/>
  <c r="S8" i="1"/>
  <c r="U8" i="1" s="1"/>
  <c r="N23" i="1"/>
  <c r="G25" i="2" s="1"/>
  <c r="I25" i="2" s="1"/>
  <c r="U18" i="1"/>
  <c r="I17" i="2"/>
  <c r="AM11" i="1"/>
  <c r="AB11" i="1"/>
  <c r="U9" i="1"/>
  <c r="AO9" i="1" s="1"/>
  <c r="AU9" i="1" s="1"/>
  <c r="E40" i="2"/>
  <c r="I12" i="2"/>
  <c r="L11" i="1"/>
  <c r="E22" i="2" s="1"/>
  <c r="I53" i="2"/>
  <c r="I52" i="2"/>
  <c r="BB11" i="1"/>
  <c r="I48" i="2"/>
  <c r="I44" i="2"/>
  <c r="I45" i="2"/>
  <c r="I43" i="2"/>
  <c r="I46" i="2"/>
  <c r="I34" i="2"/>
  <c r="I29" i="2"/>
  <c r="I27" i="2"/>
  <c r="I19" i="2"/>
  <c r="I15" i="2"/>
  <c r="I11" i="2"/>
  <c r="I10" i="2"/>
  <c r="I14" i="2"/>
  <c r="L23" i="1"/>
  <c r="G22" i="2" s="1"/>
  <c r="I13" i="2"/>
  <c r="I20" i="2"/>
  <c r="AE11" i="1" l="1"/>
  <c r="AO21" i="1"/>
  <c r="AU21" i="1" s="1"/>
  <c r="S11" i="1"/>
  <c r="E31" i="2" s="1"/>
  <c r="BB23" i="1"/>
  <c r="AO19" i="1"/>
  <c r="AU19" i="1" s="1"/>
  <c r="AE23" i="1"/>
  <c r="I40" i="2"/>
  <c r="AO18" i="1"/>
  <c r="AU18" i="1" s="1"/>
  <c r="U23" i="1"/>
  <c r="S23" i="1"/>
  <c r="G31" i="2" s="1"/>
  <c r="E39" i="2"/>
  <c r="I39" i="2" s="1"/>
  <c r="U11" i="1"/>
  <c r="AO8" i="1"/>
  <c r="AU8" i="1" s="1"/>
  <c r="AU11" i="1" s="1"/>
  <c r="I22" i="2"/>
  <c r="E33" i="2" l="1"/>
  <c r="E36" i="2" s="1"/>
  <c r="E50" i="2" s="1"/>
  <c r="E55" i="2" s="1"/>
  <c r="E57" i="2" s="1"/>
  <c r="AU23" i="1"/>
  <c r="G33" i="2"/>
  <c r="G36" i="2" s="1"/>
  <c r="AO23" i="1"/>
  <c r="I31" i="2"/>
  <c r="I33" i="2" s="1"/>
  <c r="I36" i="2" s="1"/>
  <c r="I50" i="2" s="1"/>
  <c r="I55" i="2" s="1"/>
  <c r="I57" i="2" s="1"/>
  <c r="AO11" i="1"/>
  <c r="G50" i="2" l="1"/>
  <c r="G55" i="2" s="1"/>
  <c r="G57" i="2" s="1"/>
</calcChain>
</file>

<file path=xl/sharedStrings.xml><?xml version="1.0" encoding="utf-8"?>
<sst xmlns="http://schemas.openxmlformats.org/spreadsheetml/2006/main" count="106" uniqueCount="91">
  <si>
    <t>Interest Income</t>
  </si>
  <si>
    <t>Interest Expense</t>
  </si>
  <si>
    <t>Non-Interest Income (NII)</t>
  </si>
  <si>
    <t>Gains/Losses</t>
  </si>
  <si>
    <t>Non-Interest Expense (NIE)</t>
  </si>
  <si>
    <t>Taxes</t>
  </si>
  <si>
    <t>Extraordinary</t>
  </si>
  <si>
    <t>Capital Reconciliation</t>
  </si>
  <si>
    <t>Loans</t>
  </si>
  <si>
    <t>Lease Financing Receivables</t>
  </si>
  <si>
    <t>Depository Institution Balances</t>
  </si>
  <si>
    <t>Gov't &amp; Agency Securities</t>
  </si>
  <si>
    <t>Other Securities</t>
  </si>
  <si>
    <t>Trading Assets</t>
  </si>
  <si>
    <t>FFS &amp; Repos</t>
  </si>
  <si>
    <t>Total Int. Inc. Check to Call Report</t>
  </si>
  <si>
    <t>Deposits</t>
  </si>
  <si>
    <t>Borrowed Money</t>
  </si>
  <si>
    <t>Sub Notes &amp; Debentures</t>
  </si>
  <si>
    <t>Total Int. Exp. Check to Call Report</t>
  </si>
  <si>
    <t>Net Interest Income Check to Call Report</t>
  </si>
  <si>
    <t>Fiduciary</t>
  </si>
  <si>
    <t>Deposit Service Charges</t>
  </si>
  <si>
    <t>Trading Revenue</t>
  </si>
  <si>
    <t>Other Fee Income</t>
  </si>
  <si>
    <t>Other Non-Int Income</t>
  </si>
  <si>
    <t>Total NII Check to Call Report</t>
  </si>
  <si>
    <t>Salaries &amp; Benefits</t>
  </si>
  <si>
    <t>Premises &amp; Fixed Assets</t>
  </si>
  <si>
    <t>Other</t>
  </si>
  <si>
    <t>Total NIE Check to Call Report</t>
  </si>
  <si>
    <t>EBIT &amp; Extraordinary Check to Call Report</t>
  </si>
  <si>
    <t>Applicable Income Taxes</t>
  </si>
  <si>
    <t>Other Gains/Losses</t>
  </si>
  <si>
    <t>Net Income Check to Call Report</t>
  </si>
  <si>
    <t>Beginning Capital</t>
  </si>
  <si>
    <t>Net Income</t>
  </si>
  <si>
    <t>Dividends</t>
  </si>
  <si>
    <t>Other Changes to Net Worth</t>
  </si>
  <si>
    <t>Ending Net Worth Check To Call Report</t>
  </si>
  <si>
    <t>Northfield</t>
  </si>
  <si>
    <t>Passumpsic</t>
  </si>
  <si>
    <t>Wells River</t>
  </si>
  <si>
    <t>Peoples</t>
  </si>
  <si>
    <t>Union</t>
  </si>
  <si>
    <t>Total</t>
  </si>
  <si>
    <t>Assets Held in Trading Accounts</t>
  </si>
  <si>
    <t>Federal Funds Sold and Securities</t>
  </si>
  <si>
    <t>Purchased Under Agreement to Resell</t>
  </si>
  <si>
    <t>Interest on Balances Due From</t>
  </si>
  <si>
    <t>Depository Institutions</t>
  </si>
  <si>
    <t>Total Interest Income</t>
  </si>
  <si>
    <t>Subordinated Notes and Debentures</t>
  </si>
  <si>
    <t>Borrowed Funds</t>
  </si>
  <si>
    <t xml:space="preserve">Federal Funds Purchased and Securities </t>
  </si>
  <si>
    <t>Sold Under Agreement to Repurchase</t>
  </si>
  <si>
    <t>Total Interest Expense</t>
  </si>
  <si>
    <t>Net Interest Income</t>
  </si>
  <si>
    <t>Less Provisions for Loan Losses</t>
  </si>
  <si>
    <t>Other Operating Income</t>
  </si>
  <si>
    <t>Other Income</t>
  </si>
  <si>
    <t>Other Operating Expense</t>
  </si>
  <si>
    <t>Salaries and Benefits</t>
  </si>
  <si>
    <t>Other Expenses</t>
  </si>
  <si>
    <t>Other Gains (Losses)</t>
  </si>
  <si>
    <t>Less Dividends to Stockholders</t>
  </si>
  <si>
    <t>Net Worth (Percent Change)</t>
  </si>
  <si>
    <t>Service Charges, Commissions, &amp; Fees</t>
  </si>
  <si>
    <t>Net Occupancy, Furniture, &amp; Fixtures</t>
  </si>
  <si>
    <t>Net Interest Income After Loss Provisions</t>
  </si>
  <si>
    <t>PLLL</t>
  </si>
  <si>
    <t>PLLL (Enter as Neg #)</t>
  </si>
  <si>
    <t>Mortgage Backed Securities</t>
  </si>
  <si>
    <t>Mortgage-Backed Securities</t>
  </si>
  <si>
    <t>Other Interest Income</t>
  </si>
  <si>
    <t>STATEMENT OF INCOME AND EXPENSE OF VERMONT FINANCIAL INSTITUTIONS</t>
  </si>
  <si>
    <t>Mutual</t>
  </si>
  <si>
    <t>Investor</t>
  </si>
  <si>
    <t>Financial</t>
  </si>
  <si>
    <t>Institutions</t>
  </si>
  <si>
    <t>U.S. Government and Agency Securities</t>
  </si>
  <si>
    <t>Brattleboro S&amp;L</t>
  </si>
  <si>
    <t>Mutual Banks</t>
  </si>
  <si>
    <t>Investor Banks</t>
  </si>
  <si>
    <t>Total Mutual Banks</t>
  </si>
  <si>
    <t>Total Investor Banks</t>
  </si>
  <si>
    <t>Securities Gains/Losses inc Equities</t>
  </si>
  <si>
    <t>Securities Gains (Losses)</t>
  </si>
  <si>
    <t>Net Worth December 31, 2020</t>
  </si>
  <si>
    <t>For the Year Ended December 31, 2021 (000 Omitted)</t>
  </si>
  <si>
    <t>Net Worth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</si>
</sst>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4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b/>
      <u val="double"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37" fontId="0" fillId="0" borderId="0"/>
  </cellStyleXfs>
  <cellXfs count="40">
    <xf numFmtId="37" fontId="0" fillId="0" borderId="0" xfId="0"/>
    <xf numFmtId="37" fontId="1" fillId="0" borderId="0" xfId="0" applyFont="1" applyProtection="1"/>
    <xf numFmtId="37" fontId="2" fillId="0" borderId="1" xfId="0" applyFont="1" applyBorder="1" applyAlignment="1" applyProtection="1">
      <alignment horizontal="centerContinuous"/>
    </xf>
    <xf numFmtId="37" fontId="2" fillId="0" borderId="2" xfId="0" applyFont="1" applyBorder="1" applyAlignment="1" applyProtection="1">
      <alignment horizontal="centerContinuous"/>
    </xf>
    <xf numFmtId="37" fontId="3" fillId="0" borderId="3" xfId="0" applyFont="1" applyBorder="1" applyAlignment="1" applyProtection="1">
      <alignment horizontal="centerContinuous"/>
    </xf>
    <xf numFmtId="37" fontId="1" fillId="0" borderId="2" xfId="0" applyFont="1" applyBorder="1" applyAlignment="1" applyProtection="1">
      <alignment horizontal="centerContinuous"/>
    </xf>
    <xf numFmtId="37" fontId="3" fillId="0" borderId="0" xfId="0" applyFont="1" applyProtection="1"/>
    <xf numFmtId="37" fontId="2" fillId="0" borderId="4" xfId="0" applyFont="1" applyBorder="1" applyAlignment="1" applyProtection="1">
      <alignment horizontal="center"/>
    </xf>
    <xf numFmtId="37" fontId="2" fillId="0" borderId="4" xfId="0" applyFont="1" applyBorder="1" applyProtection="1"/>
    <xf numFmtId="37" fontId="1" fillId="0" borderId="5" xfId="0" applyFont="1" applyBorder="1" applyAlignment="1" applyProtection="1">
      <alignment horizontal="center"/>
    </xf>
    <xf numFmtId="37" fontId="3" fillId="0" borderId="6" xfId="0" applyFont="1" applyBorder="1" applyProtection="1"/>
    <xf numFmtId="37" fontId="1" fillId="0" borderId="5" xfId="0" applyFont="1" applyBorder="1" applyProtection="1"/>
    <xf numFmtId="37" fontId="1" fillId="0" borderId="7" xfId="0" applyFont="1" applyBorder="1" applyProtection="1"/>
    <xf numFmtId="37" fontId="1" fillId="0" borderId="8" xfId="0" applyFont="1" applyBorder="1" applyProtection="1"/>
    <xf numFmtId="37" fontId="1" fillId="0" borderId="5" xfId="0" applyFont="1" applyBorder="1" applyAlignment="1" applyProtection="1">
      <alignment horizontal="center" wrapText="1"/>
    </xf>
    <xf numFmtId="37" fontId="1" fillId="0" borderId="0" xfId="0" applyFont="1" applyAlignment="1" applyProtection="1">
      <alignment horizontal="center" wrapText="1"/>
    </xf>
    <xf numFmtId="37" fontId="3" fillId="0" borderId="6" xfId="0" applyFont="1" applyBorder="1" applyAlignment="1" applyProtection="1">
      <alignment horizontal="center" wrapText="1"/>
    </xf>
    <xf numFmtId="37" fontId="3" fillId="0" borderId="0" xfId="0" applyFont="1" applyAlignment="1" applyProtection="1">
      <alignment horizontal="center" wrapText="1"/>
    </xf>
    <xf numFmtId="37" fontId="1" fillId="0" borderId="7" xfId="0" applyFont="1" applyBorder="1" applyAlignment="1" applyProtection="1">
      <alignment horizontal="center" wrapText="1"/>
    </xf>
    <xf numFmtId="37" fontId="1" fillId="0" borderId="9" xfId="0" applyFont="1" applyBorder="1" applyProtection="1"/>
    <xf numFmtId="37" fontId="1" fillId="0" borderId="10" xfId="0" applyFont="1" applyBorder="1" applyProtection="1"/>
    <xf numFmtId="37" fontId="3" fillId="0" borderId="11" xfId="0" applyFont="1" applyBorder="1" applyProtection="1"/>
    <xf numFmtId="37" fontId="1" fillId="0" borderId="12" xfId="0" applyFont="1" applyBorder="1" applyProtection="1"/>
    <xf numFmtId="37" fontId="1" fillId="0" borderId="0" xfId="0" applyFont="1" applyFill="1" applyBorder="1" applyProtection="1"/>
    <xf numFmtId="37" fontId="5" fillId="0" borderId="0" xfId="0" applyFont="1" applyAlignment="1" applyProtection="1">
      <alignment horizontal="center"/>
    </xf>
    <xf numFmtId="37" fontId="5" fillId="0" borderId="0" xfId="0" applyFont="1" applyProtection="1"/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5" fontId="5" fillId="0" borderId="0" xfId="0" applyNumberFormat="1" applyFont="1" applyProtection="1"/>
    <xf numFmtId="37" fontId="5" fillId="0" borderId="0" xfId="0" applyNumberFormat="1" applyFont="1" applyProtection="1"/>
    <xf numFmtId="37" fontId="6" fillId="0" borderId="0" xfId="0" applyNumberFormat="1" applyFont="1" applyProtection="1"/>
    <xf numFmtId="37" fontId="7" fillId="0" borderId="0" xfId="0" applyFont="1" applyProtection="1"/>
    <xf numFmtId="5" fontId="8" fillId="0" borderId="0" xfId="0" applyNumberFormat="1" applyFont="1" applyProtection="1"/>
    <xf numFmtId="164" fontId="5" fillId="0" borderId="0" xfId="0" applyNumberFormat="1" applyFont="1" applyProtection="1"/>
    <xf numFmtId="37" fontId="1" fillId="0" borderId="0" xfId="0" applyFont="1"/>
    <xf numFmtId="37" fontId="9" fillId="0" borderId="0" xfId="0" applyFont="1"/>
    <xf numFmtId="37" fontId="1" fillId="0" borderId="5" xfId="0" applyFont="1" applyBorder="1" applyAlignment="1" applyProtection="1"/>
    <xf numFmtId="37" fontId="1" fillId="0" borderId="0" xfId="0" applyFont="1" applyBorder="1" applyProtection="1"/>
    <xf numFmtId="37" fontId="4" fillId="0" borderId="0" xfId="0" applyFont="1" applyAlignment="1" applyProtection="1">
      <alignment horizontal="center"/>
    </xf>
    <xf numFmtId="37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B23"/>
  <sheetViews>
    <sheetView showGridLines="0" tabSelected="1" defaultGridColor="0" colorId="22" zoomScaleNormal="100" workbookViewId="0">
      <pane xSplit="1" ySplit="5" topLeftCell="B6" activePane="bottomRight" state="frozenSplit"/>
      <selection pane="topRight" activeCell="B1" sqref="B1"/>
      <selection pane="bottomLeft" activeCell="A6" sqref="A6"/>
      <selection pane="bottomRight" activeCell="B6" sqref="B6"/>
    </sheetView>
  </sheetViews>
  <sheetFormatPr defaultColWidth="9.6640625" defaultRowHeight="13.2" x14ac:dyDescent="0.25"/>
  <cols>
    <col min="1" max="1" width="20.6640625" customWidth="1"/>
    <col min="3" max="3" width="10.88671875" customWidth="1"/>
    <col min="11" max="11" width="5.6640625" customWidth="1"/>
    <col min="13" max="13" width="5.6640625" customWidth="1"/>
    <col min="17" max="17" width="10.109375" customWidth="1"/>
    <col min="18" max="18" width="5.6640625" customWidth="1"/>
    <col min="20" max="20" width="5.6640625" customWidth="1"/>
    <col min="22" max="22" width="5.6640625" customWidth="1"/>
    <col min="24" max="24" width="5.6640625" customWidth="1"/>
    <col min="30" max="30" width="5.6640625" customWidth="1"/>
    <col min="32" max="32" width="5.6640625" customWidth="1"/>
    <col min="33" max="33" width="16.109375" bestFit="1" customWidth="1"/>
    <col min="34" max="34" width="5.6640625" customWidth="1"/>
    <col min="38" max="38" width="5.6640625" customWidth="1"/>
    <col min="40" max="40" width="5.6640625" customWidth="1"/>
    <col min="41" max="41" width="12.109375" bestFit="1" customWidth="1"/>
    <col min="42" max="42" width="5.6640625" customWidth="1"/>
    <col min="44" max="44" width="5.6640625" customWidth="1"/>
    <col min="45" max="45" width="16.109375" bestFit="1" customWidth="1"/>
    <col min="46" max="46" width="5.6640625" customWidth="1"/>
    <col min="48" max="48" width="5.6640625" customWidth="1"/>
    <col min="53" max="53" width="5.6640625" customWidth="1"/>
  </cols>
  <sheetData>
    <row r="1" spans="1:54" ht="15.6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2" t="s">
        <v>1</v>
      </c>
      <c r="O1" s="5"/>
      <c r="P1" s="5"/>
      <c r="Q1" s="5"/>
      <c r="R1" s="5"/>
      <c r="S1" s="4"/>
      <c r="T1" s="1"/>
      <c r="U1" s="6"/>
      <c r="V1" s="1"/>
      <c r="W1" s="7" t="s">
        <v>70</v>
      </c>
      <c r="X1" s="1"/>
      <c r="Y1" s="2" t="s">
        <v>2</v>
      </c>
      <c r="Z1" s="5"/>
      <c r="AA1" s="5"/>
      <c r="AB1" s="5"/>
      <c r="AC1" s="5"/>
      <c r="AD1" s="5"/>
      <c r="AE1" s="4"/>
      <c r="AF1" s="1"/>
      <c r="AG1" s="8" t="s">
        <v>3</v>
      </c>
      <c r="AH1" s="1"/>
      <c r="AI1" s="2" t="s">
        <v>4</v>
      </c>
      <c r="AJ1" s="5"/>
      <c r="AK1" s="5"/>
      <c r="AL1" s="5"/>
      <c r="AM1" s="4"/>
      <c r="AN1" s="1"/>
      <c r="AO1" s="6"/>
      <c r="AP1" s="1"/>
      <c r="AQ1" s="7" t="s">
        <v>5</v>
      </c>
      <c r="AR1" s="1"/>
      <c r="AS1" s="7" t="s">
        <v>6</v>
      </c>
      <c r="AT1" s="1"/>
      <c r="AU1" s="6"/>
      <c r="AV1" s="1"/>
      <c r="AW1" s="2" t="s">
        <v>7</v>
      </c>
      <c r="AX1" s="5"/>
      <c r="AY1" s="5"/>
      <c r="AZ1" s="5"/>
      <c r="BA1" s="5"/>
      <c r="BB1" s="4"/>
    </row>
    <row r="2" spans="1:54" x14ac:dyDescent="0.25">
      <c r="A2" s="1"/>
      <c r="B2" s="9"/>
      <c r="C2" s="1"/>
      <c r="D2" s="1"/>
      <c r="E2" s="1"/>
      <c r="F2" s="1"/>
      <c r="G2" s="1"/>
      <c r="H2" s="1"/>
      <c r="I2" s="1"/>
      <c r="J2" s="1"/>
      <c r="K2" s="1"/>
      <c r="L2" s="10"/>
      <c r="M2" s="1"/>
      <c r="N2" s="11"/>
      <c r="O2" s="1"/>
      <c r="P2" s="1"/>
      <c r="Q2" s="1"/>
      <c r="R2" s="1"/>
      <c r="S2" s="10"/>
      <c r="T2" s="1"/>
      <c r="U2" s="6"/>
      <c r="V2" s="1"/>
      <c r="W2" s="12"/>
      <c r="X2" s="1"/>
      <c r="Y2" s="11"/>
      <c r="Z2" s="1"/>
      <c r="AA2" s="1"/>
      <c r="AB2" s="1"/>
      <c r="AC2" s="1"/>
      <c r="AD2" s="1"/>
      <c r="AE2" s="10"/>
      <c r="AF2" s="1"/>
      <c r="AG2" s="12"/>
      <c r="AH2" s="1"/>
      <c r="AI2" s="11"/>
      <c r="AJ2" s="1"/>
      <c r="AK2" s="1"/>
      <c r="AL2" s="1"/>
      <c r="AM2" s="10"/>
      <c r="AN2" s="1"/>
      <c r="AO2" s="6"/>
      <c r="AP2" s="1"/>
      <c r="AQ2" s="13"/>
      <c r="AR2" s="1"/>
      <c r="AS2" s="12"/>
      <c r="AT2" s="1"/>
      <c r="AU2" s="6"/>
      <c r="AV2" s="1"/>
      <c r="AW2" s="11"/>
      <c r="AX2" s="1"/>
      <c r="AY2" s="1"/>
      <c r="AZ2" s="1"/>
      <c r="BA2" s="1"/>
      <c r="BB2" s="10"/>
    </row>
    <row r="3" spans="1:54" ht="79.2" x14ac:dyDescent="0.25">
      <c r="A3" s="1"/>
      <c r="B3" s="14" t="s">
        <v>8</v>
      </c>
      <c r="C3" s="15" t="s">
        <v>9</v>
      </c>
      <c r="D3" s="15" t="s">
        <v>10</v>
      </c>
      <c r="E3" s="15" t="s">
        <v>11</v>
      </c>
      <c r="F3" s="15" t="s">
        <v>72</v>
      </c>
      <c r="G3" s="15" t="s">
        <v>12</v>
      </c>
      <c r="H3" s="15" t="s">
        <v>13</v>
      </c>
      <c r="I3" s="15" t="s">
        <v>14</v>
      </c>
      <c r="J3" s="15" t="s">
        <v>74</v>
      </c>
      <c r="K3" s="15"/>
      <c r="L3" s="16" t="s">
        <v>15</v>
      </c>
      <c r="M3" s="15"/>
      <c r="N3" s="14" t="s">
        <v>16</v>
      </c>
      <c r="O3" s="15" t="s">
        <v>14</v>
      </c>
      <c r="P3" s="15" t="s">
        <v>17</v>
      </c>
      <c r="Q3" s="15" t="s">
        <v>18</v>
      </c>
      <c r="R3" s="15"/>
      <c r="S3" s="16" t="s">
        <v>19</v>
      </c>
      <c r="T3" s="15"/>
      <c r="U3" s="17" t="s">
        <v>20</v>
      </c>
      <c r="V3" s="15"/>
      <c r="W3" s="18" t="s">
        <v>71</v>
      </c>
      <c r="X3" s="15"/>
      <c r="Y3" s="14" t="s">
        <v>21</v>
      </c>
      <c r="Z3" s="15" t="s">
        <v>22</v>
      </c>
      <c r="AA3" s="15" t="s">
        <v>23</v>
      </c>
      <c r="AB3" s="15" t="s">
        <v>24</v>
      </c>
      <c r="AC3" s="15" t="s">
        <v>25</v>
      </c>
      <c r="AD3" s="15"/>
      <c r="AE3" s="16" t="s">
        <v>26</v>
      </c>
      <c r="AF3" s="15"/>
      <c r="AG3" s="18" t="s">
        <v>86</v>
      </c>
      <c r="AH3" s="15"/>
      <c r="AI3" s="14" t="s">
        <v>27</v>
      </c>
      <c r="AJ3" s="15" t="s">
        <v>28</v>
      </c>
      <c r="AK3" s="15" t="s">
        <v>29</v>
      </c>
      <c r="AL3" s="15"/>
      <c r="AM3" s="16" t="s">
        <v>30</v>
      </c>
      <c r="AN3" s="15"/>
      <c r="AO3" s="17" t="s">
        <v>31</v>
      </c>
      <c r="AP3" s="15"/>
      <c r="AQ3" s="18" t="s">
        <v>32</v>
      </c>
      <c r="AR3" s="15"/>
      <c r="AS3" s="18" t="s">
        <v>33</v>
      </c>
      <c r="AT3" s="15"/>
      <c r="AU3" s="17" t="s">
        <v>34</v>
      </c>
      <c r="AV3" s="15"/>
      <c r="AW3" s="14" t="s">
        <v>35</v>
      </c>
      <c r="AX3" s="15" t="s">
        <v>36</v>
      </c>
      <c r="AY3" s="15" t="s">
        <v>37</v>
      </c>
      <c r="AZ3" s="15" t="s">
        <v>38</v>
      </c>
      <c r="BA3" s="15"/>
      <c r="BB3" s="16" t="s">
        <v>39</v>
      </c>
    </row>
    <row r="4" spans="1:54" x14ac:dyDescent="0.25">
      <c r="A4" s="1"/>
      <c r="B4" s="9"/>
      <c r="C4" s="1"/>
      <c r="D4" s="1"/>
      <c r="E4" s="1"/>
      <c r="F4" s="1"/>
      <c r="G4" s="1"/>
      <c r="H4" s="1"/>
      <c r="I4" s="1"/>
      <c r="J4" s="1"/>
      <c r="K4" s="1"/>
      <c r="L4" s="10"/>
      <c r="M4" s="1"/>
      <c r="N4" s="11"/>
      <c r="O4" s="1"/>
      <c r="P4" s="1"/>
      <c r="Q4" s="1"/>
      <c r="R4" s="1"/>
      <c r="S4" s="10"/>
      <c r="T4" s="1"/>
      <c r="U4" s="6"/>
      <c r="V4" s="1"/>
      <c r="W4" s="12"/>
      <c r="X4" s="1"/>
      <c r="Y4" s="11"/>
      <c r="Z4" s="1"/>
      <c r="AA4" s="1"/>
      <c r="AB4" s="1"/>
      <c r="AC4" s="1"/>
      <c r="AD4" s="1"/>
      <c r="AE4" s="10"/>
      <c r="AF4" s="1"/>
      <c r="AG4" s="12"/>
      <c r="AH4" s="1"/>
      <c r="AI4" s="11"/>
      <c r="AJ4" s="1"/>
      <c r="AK4" s="1"/>
      <c r="AL4" s="1"/>
      <c r="AM4" s="10"/>
      <c r="AN4" s="1"/>
      <c r="AO4" s="6"/>
      <c r="AP4" s="1"/>
      <c r="AQ4" s="12"/>
      <c r="AR4" s="1"/>
      <c r="AS4" s="12"/>
      <c r="AT4" s="1"/>
      <c r="AU4" s="6"/>
      <c r="AV4" s="1"/>
      <c r="AW4" s="11"/>
      <c r="AX4" s="1"/>
      <c r="AY4" s="1"/>
      <c r="AZ4" s="1"/>
      <c r="BA4" s="1"/>
      <c r="BB4" s="10"/>
    </row>
    <row r="5" spans="1:54" x14ac:dyDescent="0.25">
      <c r="A5" s="1"/>
      <c r="B5" s="9"/>
      <c r="C5" s="1"/>
      <c r="D5" s="1"/>
      <c r="E5" s="1"/>
      <c r="F5" s="1"/>
      <c r="G5" s="1"/>
      <c r="H5" s="1"/>
      <c r="I5" s="1"/>
      <c r="J5" s="1"/>
      <c r="K5" s="1"/>
      <c r="L5" s="10"/>
      <c r="M5" s="1"/>
      <c r="N5" s="11"/>
      <c r="O5" s="1"/>
      <c r="P5" s="1"/>
      <c r="Q5" s="1"/>
      <c r="R5" s="1"/>
      <c r="S5" s="10"/>
      <c r="T5" s="1"/>
      <c r="U5" s="6"/>
      <c r="V5" s="1"/>
      <c r="W5" s="12"/>
      <c r="X5" s="1"/>
      <c r="Y5" s="11"/>
      <c r="Z5" s="1"/>
      <c r="AA5" s="1"/>
      <c r="AB5" s="1"/>
      <c r="AC5" s="1"/>
      <c r="AD5" s="1"/>
      <c r="AE5" s="10"/>
      <c r="AF5" s="1"/>
      <c r="AG5" s="12"/>
      <c r="AH5" s="1"/>
      <c r="AI5" s="11"/>
      <c r="AJ5" s="1"/>
      <c r="AK5" s="1"/>
      <c r="AL5" s="1"/>
      <c r="AM5" s="10"/>
      <c r="AN5" s="1"/>
      <c r="AO5" s="6"/>
      <c r="AP5" s="1"/>
      <c r="AQ5" s="12"/>
      <c r="AR5" s="1"/>
      <c r="AS5" s="12"/>
      <c r="AT5" s="1"/>
      <c r="AU5" s="6"/>
      <c r="AV5" s="1"/>
      <c r="AW5" s="11"/>
      <c r="AX5" s="1"/>
      <c r="AY5" s="1"/>
      <c r="AZ5" s="1"/>
      <c r="BA5" s="1"/>
      <c r="BB5" s="10"/>
    </row>
    <row r="6" spans="1:54" x14ac:dyDescent="0.25">
      <c r="A6" s="1" t="s">
        <v>82</v>
      </c>
      <c r="B6" s="9"/>
      <c r="C6" s="1"/>
      <c r="D6" s="1"/>
      <c r="E6" s="1"/>
      <c r="F6" s="1"/>
      <c r="G6" s="1"/>
      <c r="H6" s="1"/>
      <c r="I6" s="1"/>
      <c r="J6" s="1"/>
      <c r="K6" s="1"/>
      <c r="L6" s="10"/>
      <c r="M6" s="1"/>
      <c r="N6" s="11"/>
      <c r="O6" s="1"/>
      <c r="P6" s="1"/>
      <c r="Q6" s="1"/>
      <c r="R6" s="1"/>
      <c r="S6" s="10"/>
      <c r="T6" s="1"/>
      <c r="U6" s="6"/>
      <c r="V6" s="1"/>
      <c r="W6" s="12"/>
      <c r="X6" s="1"/>
      <c r="Y6" s="11"/>
      <c r="Z6" s="1"/>
      <c r="AA6" s="1"/>
      <c r="AB6" s="1"/>
      <c r="AC6" s="1"/>
      <c r="AD6" s="1"/>
      <c r="AE6" s="10"/>
      <c r="AF6" s="1"/>
      <c r="AG6" s="12"/>
      <c r="AH6" s="1"/>
      <c r="AI6" s="11"/>
      <c r="AJ6" s="1"/>
      <c r="AK6" s="1"/>
      <c r="AL6" s="1"/>
      <c r="AM6" s="10"/>
      <c r="AN6" s="1"/>
      <c r="AO6" s="6"/>
      <c r="AP6" s="1"/>
      <c r="AQ6" s="12"/>
      <c r="AR6" s="1"/>
      <c r="AS6" s="12"/>
      <c r="AT6" s="1"/>
      <c r="AU6" s="6"/>
      <c r="AV6" s="1"/>
      <c r="AW6" s="11"/>
      <c r="AX6" s="1"/>
      <c r="AY6" s="1"/>
      <c r="AZ6" s="1"/>
      <c r="BA6" s="1"/>
      <c r="BB6" s="10"/>
    </row>
    <row r="7" spans="1:54" x14ac:dyDescent="0.25">
      <c r="A7" s="1"/>
      <c r="B7" s="9"/>
      <c r="C7" s="1"/>
      <c r="D7" s="1"/>
      <c r="E7" s="1"/>
      <c r="F7" s="23"/>
      <c r="G7" s="23"/>
      <c r="H7" s="1"/>
      <c r="I7" s="1"/>
      <c r="J7" s="1"/>
      <c r="K7" s="1"/>
      <c r="L7" s="10"/>
      <c r="M7" s="1"/>
      <c r="N7" s="11"/>
      <c r="O7" s="1"/>
      <c r="P7" s="1"/>
      <c r="Q7" s="1"/>
      <c r="R7" s="1"/>
      <c r="S7" s="10"/>
      <c r="T7" s="1"/>
      <c r="U7" s="6"/>
      <c r="V7" s="1"/>
      <c r="W7" s="12"/>
      <c r="X7" s="1"/>
      <c r="Y7" s="11"/>
      <c r="Z7" s="1"/>
      <c r="AA7" s="1"/>
      <c r="AB7" s="1"/>
      <c r="AC7" s="1"/>
      <c r="AD7" s="1"/>
      <c r="AE7" s="10"/>
      <c r="AF7" s="1"/>
      <c r="AG7" s="12"/>
      <c r="AH7" s="1"/>
      <c r="AI7" s="11"/>
      <c r="AJ7" s="1"/>
      <c r="AK7" s="1"/>
      <c r="AL7" s="1"/>
      <c r="AM7" s="10"/>
      <c r="AN7" s="1"/>
      <c r="AO7" s="6"/>
      <c r="AP7" s="1"/>
      <c r="AQ7" s="12"/>
      <c r="AR7" s="1"/>
      <c r="AS7" s="12"/>
      <c r="AT7" s="1"/>
      <c r="AU7" s="6"/>
      <c r="AV7" s="1"/>
      <c r="AW7" s="11"/>
      <c r="AX7" s="1"/>
      <c r="AY7" s="1"/>
      <c r="AZ7" s="1"/>
      <c r="BA7" s="1"/>
      <c r="BB7" s="10"/>
    </row>
    <row r="8" spans="1:54" x14ac:dyDescent="0.25">
      <c r="A8" s="1" t="s">
        <v>81</v>
      </c>
      <c r="B8" s="11">
        <v>8250</v>
      </c>
      <c r="C8" s="1">
        <v>0</v>
      </c>
      <c r="D8" s="1">
        <v>118</v>
      </c>
      <c r="E8" s="23">
        <v>0</v>
      </c>
      <c r="F8" s="23">
        <v>4</v>
      </c>
      <c r="G8" s="23">
        <v>0</v>
      </c>
      <c r="H8" s="23">
        <v>0</v>
      </c>
      <c r="I8" s="23">
        <v>1</v>
      </c>
      <c r="J8" s="23">
        <v>5</v>
      </c>
      <c r="K8" s="1"/>
      <c r="L8" s="10">
        <f>SUM(B8:J8)</f>
        <v>8378</v>
      </c>
      <c r="M8" s="1"/>
      <c r="N8" s="11">
        <f>275+25+375+85</f>
        <v>760</v>
      </c>
      <c r="O8" s="1">
        <v>0</v>
      </c>
      <c r="P8" s="1">
        <v>124</v>
      </c>
      <c r="Q8" s="1">
        <v>0</v>
      </c>
      <c r="R8" s="1"/>
      <c r="S8" s="10">
        <f>SUM(N8:Q8)</f>
        <v>884</v>
      </c>
      <c r="T8" s="1"/>
      <c r="U8" s="6">
        <f>L8-S8</f>
        <v>7494</v>
      </c>
      <c r="V8" s="1"/>
      <c r="W8" s="12">
        <v>-80</v>
      </c>
      <c r="X8" s="1"/>
      <c r="Y8" s="11">
        <v>0</v>
      </c>
      <c r="Z8" s="1">
        <v>221</v>
      </c>
      <c r="AA8" s="23">
        <v>0</v>
      </c>
      <c r="AB8" s="1">
        <f>1170+19+163</f>
        <v>1352</v>
      </c>
      <c r="AC8" s="1">
        <f>378+843</f>
        <v>1221</v>
      </c>
      <c r="AD8" s="1"/>
      <c r="AE8" s="10">
        <f>SUM(Y8:AC8)</f>
        <v>2794</v>
      </c>
      <c r="AF8" s="1"/>
      <c r="AG8" s="12">
        <v>0</v>
      </c>
      <c r="AH8" s="1"/>
      <c r="AI8" s="11">
        <v>4614</v>
      </c>
      <c r="AJ8" s="1">
        <v>728</v>
      </c>
      <c r="AK8" s="23">
        <v>3083</v>
      </c>
      <c r="AL8" s="1"/>
      <c r="AM8" s="10">
        <f>SUM(AI8:AK8)</f>
        <v>8425</v>
      </c>
      <c r="AN8" s="1"/>
      <c r="AO8" s="6">
        <f>U8+W8+AE8+AG8-AM8</f>
        <v>1783</v>
      </c>
      <c r="AP8" s="1"/>
      <c r="AQ8" s="12">
        <v>283</v>
      </c>
      <c r="AR8" s="1"/>
      <c r="AS8" s="12">
        <v>0</v>
      </c>
      <c r="AT8" s="1"/>
      <c r="AU8" s="6">
        <f>AO8-AQ8+AS8</f>
        <v>1500</v>
      </c>
      <c r="AV8" s="1"/>
      <c r="AW8" s="11">
        <v>20376</v>
      </c>
      <c r="AX8" s="1">
        <v>1500</v>
      </c>
      <c r="AY8" s="1">
        <v>0</v>
      </c>
      <c r="AZ8" s="23">
        <v>-3</v>
      </c>
      <c r="BA8" s="1"/>
      <c r="BB8" s="10">
        <f>AW8+AX8-AY8+AZ8</f>
        <v>21873</v>
      </c>
    </row>
    <row r="9" spans="1:54" x14ac:dyDescent="0.25">
      <c r="A9" s="1" t="s">
        <v>42</v>
      </c>
      <c r="B9" s="36">
        <v>6121</v>
      </c>
      <c r="C9" s="1">
        <v>0</v>
      </c>
      <c r="D9" s="1">
        <v>16</v>
      </c>
      <c r="E9" s="23">
        <v>87</v>
      </c>
      <c r="F9" s="23">
        <v>267</v>
      </c>
      <c r="G9" s="23">
        <v>868</v>
      </c>
      <c r="H9" s="23">
        <v>0</v>
      </c>
      <c r="I9" s="23">
        <v>0</v>
      </c>
      <c r="J9" s="23">
        <v>7</v>
      </c>
      <c r="K9" s="1"/>
      <c r="L9" s="10">
        <f>SUM(B9:J9)</f>
        <v>7366</v>
      </c>
      <c r="M9" s="1"/>
      <c r="N9" s="11">
        <f>69+160+150+14</f>
        <v>393</v>
      </c>
      <c r="O9" s="1">
        <v>0</v>
      </c>
      <c r="P9" s="1">
        <v>52</v>
      </c>
      <c r="Q9" s="1">
        <v>0</v>
      </c>
      <c r="R9" s="1"/>
      <c r="S9" s="10">
        <f>SUM(N9:Q9)</f>
        <v>445</v>
      </c>
      <c r="T9" s="1"/>
      <c r="U9" s="6">
        <f>L9-S9</f>
        <v>6921</v>
      </c>
      <c r="V9" s="1"/>
      <c r="W9" s="12">
        <v>-360</v>
      </c>
      <c r="X9" s="1"/>
      <c r="Y9" s="11">
        <v>0</v>
      </c>
      <c r="Z9" s="1">
        <v>259</v>
      </c>
      <c r="AA9" s="23">
        <v>0</v>
      </c>
      <c r="AB9" s="23">
        <v>0</v>
      </c>
      <c r="AC9" s="23">
        <f>94+923</f>
        <v>1017</v>
      </c>
      <c r="AD9" s="1"/>
      <c r="AE9" s="10">
        <f>SUM(Y9:AC9)</f>
        <v>1276</v>
      </c>
      <c r="AF9" s="1"/>
      <c r="AG9" s="12">
        <v>458</v>
      </c>
      <c r="AH9" s="1"/>
      <c r="AI9" s="11">
        <v>3963</v>
      </c>
      <c r="AJ9" s="1">
        <v>846</v>
      </c>
      <c r="AK9" s="23">
        <v>2575</v>
      </c>
      <c r="AL9" s="1"/>
      <c r="AM9" s="10">
        <f>SUM(AI9:AK9)</f>
        <v>7384</v>
      </c>
      <c r="AN9" s="1"/>
      <c r="AO9" s="6">
        <f>U9+W9+AE9+AG9-AM9</f>
        <v>911</v>
      </c>
      <c r="AP9" s="1"/>
      <c r="AQ9" s="12">
        <v>-248</v>
      </c>
      <c r="AR9" s="1"/>
      <c r="AS9" s="12">
        <v>0</v>
      </c>
      <c r="AT9" s="1"/>
      <c r="AU9" s="6">
        <f>AO9-AQ9+AS9</f>
        <v>1159</v>
      </c>
      <c r="AV9" s="1"/>
      <c r="AW9" s="11">
        <v>22979</v>
      </c>
      <c r="AX9" s="1">
        <v>1159</v>
      </c>
      <c r="AY9" s="1">
        <v>0</v>
      </c>
      <c r="AZ9" s="23">
        <v>-1466</v>
      </c>
      <c r="BA9" s="1"/>
      <c r="BB9" s="10">
        <f>AW9+AX9-AY9+AZ9</f>
        <v>22672</v>
      </c>
    </row>
    <row r="10" spans="1:54" x14ac:dyDescent="0.25">
      <c r="A10" s="1"/>
      <c r="B10" s="11"/>
      <c r="C10" s="1"/>
      <c r="D10" s="1"/>
      <c r="E10" s="1"/>
      <c r="F10" s="1"/>
      <c r="G10" s="1"/>
      <c r="H10" s="1"/>
      <c r="I10" s="1"/>
      <c r="J10" s="1"/>
      <c r="K10" s="1"/>
      <c r="L10" s="10"/>
      <c r="M10" s="1"/>
      <c r="N10" s="11"/>
      <c r="O10" s="1"/>
      <c r="P10" s="1"/>
      <c r="Q10" s="1"/>
      <c r="R10" s="1"/>
      <c r="S10" s="10"/>
      <c r="T10" s="1"/>
      <c r="U10" s="6"/>
      <c r="V10" s="1"/>
      <c r="W10" s="12"/>
      <c r="X10" s="1"/>
      <c r="Y10" s="11"/>
      <c r="Z10" s="1"/>
      <c r="AA10" s="1"/>
      <c r="AB10" s="1"/>
      <c r="AC10" s="1"/>
      <c r="AD10" s="1"/>
      <c r="AE10" s="10"/>
      <c r="AF10" s="1"/>
      <c r="AG10" s="12"/>
      <c r="AH10" s="1"/>
      <c r="AI10" s="11"/>
      <c r="AJ10" s="1"/>
      <c r="AK10" s="1"/>
      <c r="AL10" s="1"/>
      <c r="AM10" s="10"/>
      <c r="AN10" s="1"/>
      <c r="AO10" s="6"/>
      <c r="AP10" s="1"/>
      <c r="AQ10" s="12"/>
      <c r="AR10" s="1"/>
      <c r="AS10" s="12"/>
      <c r="AT10" s="1"/>
      <c r="AU10" s="6"/>
      <c r="AV10" s="1"/>
      <c r="AW10" s="11"/>
      <c r="AX10" s="1"/>
      <c r="AY10" s="1"/>
      <c r="AZ10" s="1"/>
      <c r="BA10" s="1"/>
      <c r="BB10" s="10"/>
    </row>
    <row r="11" spans="1:54" x14ac:dyDescent="0.25">
      <c r="A11" s="1" t="s">
        <v>84</v>
      </c>
      <c r="B11" s="11">
        <f>SUM(B7:B9)</f>
        <v>14371</v>
      </c>
      <c r="C11" s="37">
        <f t="shared" ref="C11:J11" si="0">SUM(C7:C9)</f>
        <v>0</v>
      </c>
      <c r="D11" s="37">
        <f t="shared" si="0"/>
        <v>134</v>
      </c>
      <c r="E11" s="37">
        <f t="shared" si="0"/>
        <v>87</v>
      </c>
      <c r="F11" s="37">
        <f t="shared" si="0"/>
        <v>271</v>
      </c>
      <c r="G11" s="37">
        <f t="shared" si="0"/>
        <v>868</v>
      </c>
      <c r="H11" s="37">
        <f t="shared" si="0"/>
        <v>0</v>
      </c>
      <c r="I11" s="37">
        <f t="shared" si="0"/>
        <v>1</v>
      </c>
      <c r="J11" s="37">
        <f t="shared" si="0"/>
        <v>12</v>
      </c>
      <c r="K11" s="1"/>
      <c r="L11" s="10">
        <f>IF(SUM(L7:L9)=SUM(B11:J11),SUM(L7:L9),"ERROR")</f>
        <v>15744</v>
      </c>
      <c r="M11" s="1"/>
      <c r="N11" s="11">
        <f>SUM(N7:N9)</f>
        <v>1153</v>
      </c>
      <c r="O11" s="37">
        <f>SUM(O7:O9)</f>
        <v>0</v>
      </c>
      <c r="P11" s="37">
        <f>SUM(P7:P9)</f>
        <v>176</v>
      </c>
      <c r="Q11" s="37">
        <f>SUM(Q7:Q9)</f>
        <v>0</v>
      </c>
      <c r="R11" s="1"/>
      <c r="S11" s="10">
        <f>IF(SUM(S7:S9)=SUM(N11:Q11),SUM(S7:S9),"ERROR")</f>
        <v>1329</v>
      </c>
      <c r="T11" s="1"/>
      <c r="U11" s="6">
        <f>SUM(U7:U9)</f>
        <v>14415</v>
      </c>
      <c r="V11" s="1"/>
      <c r="W11" s="12">
        <f>SUM(W7:W9)</f>
        <v>-440</v>
      </c>
      <c r="X11" s="1"/>
      <c r="Y11" s="11">
        <f>SUM(Y7:Y9)</f>
        <v>0</v>
      </c>
      <c r="Z11" s="37">
        <f>SUM(Z7:Z9)</f>
        <v>480</v>
      </c>
      <c r="AA11" s="37">
        <f>SUM(AA7:AA9)</f>
        <v>0</v>
      </c>
      <c r="AB11" s="37">
        <f>SUM(AB7:AB9)</f>
        <v>1352</v>
      </c>
      <c r="AC11" s="37">
        <f>SUM(AC7:AC9)</f>
        <v>2238</v>
      </c>
      <c r="AD11" s="1"/>
      <c r="AE11" s="10">
        <f>IF(SUM(AE7:AE9)=SUM(Y11:AC11),SUM(AE7:AE9),"ERROR")</f>
        <v>4070</v>
      </c>
      <c r="AF11" s="1"/>
      <c r="AG11" s="12">
        <f>SUM(AG7:AG9)</f>
        <v>458</v>
      </c>
      <c r="AH11" s="1"/>
      <c r="AI11" s="11">
        <f>SUM(AI7:AI9)</f>
        <v>8577</v>
      </c>
      <c r="AJ11" s="37">
        <f>SUM(AJ7:AJ9)</f>
        <v>1574</v>
      </c>
      <c r="AK11" s="37">
        <f>SUM(AK7:AK9)</f>
        <v>5658</v>
      </c>
      <c r="AL11" s="1"/>
      <c r="AM11" s="10">
        <f>IF(SUM(AM7:AM9)=SUM(AI11:AK11),SUM(AM7:AM9),"ERROR")</f>
        <v>15809</v>
      </c>
      <c r="AN11" s="1"/>
      <c r="AO11" s="6">
        <f>SUM(AO7:AO9)</f>
        <v>2694</v>
      </c>
      <c r="AP11" s="1"/>
      <c r="AQ11" s="12">
        <f>SUM(AQ7:AQ9)</f>
        <v>35</v>
      </c>
      <c r="AR11" s="1"/>
      <c r="AS11" s="12">
        <f>SUM(AS7:AS9)</f>
        <v>0</v>
      </c>
      <c r="AT11" s="1"/>
      <c r="AU11" s="6">
        <f>SUM(AU7:AU9)</f>
        <v>2659</v>
      </c>
      <c r="AV11" s="1"/>
      <c r="AW11" s="11">
        <f>SUM(AW7:AW9)</f>
        <v>43355</v>
      </c>
      <c r="AX11" s="37">
        <f>SUM(AX7:AX9)</f>
        <v>2659</v>
      </c>
      <c r="AY11" s="37">
        <f>SUM(AY7:AY9)</f>
        <v>0</v>
      </c>
      <c r="AZ11" s="37">
        <f>SUM(AZ7:AZ9)</f>
        <v>-1469</v>
      </c>
      <c r="BA11" s="1"/>
      <c r="BB11" s="10">
        <f>IF(SUM(BB7:BB9)=(SUM(AW11:AZ11)-(AY11*2)),SUM(BB7:BB9),"ERROR")</f>
        <v>44545</v>
      </c>
    </row>
    <row r="12" spans="1:54" x14ac:dyDescent="0.25">
      <c r="A12" s="1"/>
      <c r="B12" s="11"/>
      <c r="C12" s="1"/>
      <c r="D12" s="1"/>
      <c r="E12" s="1"/>
      <c r="F12" s="1"/>
      <c r="G12" s="1"/>
      <c r="H12" s="1"/>
      <c r="I12" s="1"/>
      <c r="J12" s="1"/>
      <c r="K12" s="1"/>
      <c r="L12" s="10"/>
      <c r="M12" s="1"/>
      <c r="N12" s="11"/>
      <c r="O12" s="1"/>
      <c r="P12" s="1"/>
      <c r="Q12" s="1"/>
      <c r="R12" s="1"/>
      <c r="S12" s="10"/>
      <c r="T12" s="1"/>
      <c r="U12" s="6"/>
      <c r="V12" s="1"/>
      <c r="W12" s="12"/>
      <c r="X12" s="1"/>
      <c r="Y12" s="11"/>
      <c r="Z12" s="1"/>
      <c r="AA12" s="1"/>
      <c r="AB12" s="1"/>
      <c r="AC12" s="1"/>
      <c r="AD12" s="1"/>
      <c r="AE12" s="10"/>
      <c r="AF12" s="1"/>
      <c r="AG12" s="12"/>
      <c r="AH12" s="1"/>
      <c r="AI12" s="11"/>
      <c r="AJ12" s="1"/>
      <c r="AK12" s="1"/>
      <c r="AL12" s="1"/>
      <c r="AM12" s="10"/>
      <c r="AN12" s="1"/>
      <c r="AO12" s="6"/>
      <c r="AP12" s="1"/>
      <c r="AQ12" s="12"/>
      <c r="AR12" s="1"/>
      <c r="AS12" s="12"/>
      <c r="AT12" s="1"/>
      <c r="AU12" s="6"/>
      <c r="AV12" s="1"/>
      <c r="AW12" s="11"/>
      <c r="AX12" s="1"/>
      <c r="AY12" s="1"/>
      <c r="AZ12" s="1"/>
      <c r="BA12" s="1"/>
      <c r="BB12" s="10"/>
    </row>
    <row r="13" spans="1:54" x14ac:dyDescent="0.25">
      <c r="A13" s="1"/>
      <c r="B13" s="11"/>
      <c r="C13" s="1"/>
      <c r="D13" s="1"/>
      <c r="E13" s="1"/>
      <c r="F13" s="1"/>
      <c r="G13" s="1"/>
      <c r="H13" s="1"/>
      <c r="I13" s="1"/>
      <c r="J13" s="1"/>
      <c r="K13" s="1"/>
      <c r="L13" s="10"/>
      <c r="M13" s="1"/>
      <c r="N13" s="11"/>
      <c r="O13" s="1"/>
      <c r="P13" s="1"/>
      <c r="Q13" s="1"/>
      <c r="R13" s="1"/>
      <c r="S13" s="10"/>
      <c r="T13" s="1"/>
      <c r="U13" s="6"/>
      <c r="V13" s="1"/>
      <c r="W13" s="12"/>
      <c r="X13" s="1"/>
      <c r="Y13" s="11"/>
      <c r="Z13" s="1"/>
      <c r="AA13" s="1"/>
      <c r="AB13" s="1"/>
      <c r="AC13" s="1"/>
      <c r="AD13" s="1"/>
      <c r="AE13" s="10"/>
      <c r="AF13" s="1"/>
      <c r="AG13" s="12"/>
      <c r="AH13" s="1"/>
      <c r="AI13" s="11"/>
      <c r="AJ13" s="1"/>
      <c r="AK13" s="1"/>
      <c r="AL13" s="1"/>
      <c r="AM13" s="10"/>
      <c r="AN13" s="1"/>
      <c r="AO13" s="6"/>
      <c r="AP13" s="1"/>
      <c r="AQ13" s="12"/>
      <c r="AR13" s="1"/>
      <c r="AS13" s="12"/>
      <c r="AT13" s="1"/>
      <c r="AU13" s="6"/>
      <c r="AV13" s="1"/>
      <c r="AW13" s="11"/>
      <c r="AX13" s="1"/>
      <c r="AY13" s="1"/>
      <c r="AZ13" s="1"/>
      <c r="BA13" s="1"/>
      <c r="BB13" s="10"/>
    </row>
    <row r="14" spans="1:54" x14ac:dyDescent="0.25">
      <c r="A14" s="1"/>
      <c r="B14" s="11"/>
      <c r="C14" s="1"/>
      <c r="D14" s="1"/>
      <c r="E14" s="1"/>
      <c r="F14" s="1"/>
      <c r="G14" s="1"/>
      <c r="H14" s="1"/>
      <c r="I14" s="1"/>
      <c r="J14" s="1"/>
      <c r="K14" s="1"/>
      <c r="L14" s="10"/>
      <c r="M14" s="1"/>
      <c r="N14" s="11"/>
      <c r="O14" s="1"/>
      <c r="P14" s="1"/>
      <c r="Q14" s="1"/>
      <c r="R14" s="1"/>
      <c r="S14" s="10"/>
      <c r="T14" s="1"/>
      <c r="U14" s="6"/>
      <c r="V14" s="1"/>
      <c r="W14" s="12"/>
      <c r="X14" s="1"/>
      <c r="Y14" s="11"/>
      <c r="Z14" s="1"/>
      <c r="AA14" s="1"/>
      <c r="AB14" s="1"/>
      <c r="AC14" s="1"/>
      <c r="AD14" s="1"/>
      <c r="AE14" s="10"/>
      <c r="AF14" s="1"/>
      <c r="AG14" s="12"/>
      <c r="AH14" s="1"/>
      <c r="AI14" s="11"/>
      <c r="AJ14" s="1"/>
      <c r="AK14" s="1"/>
      <c r="AL14" s="1"/>
      <c r="AM14" s="10"/>
      <c r="AN14" s="1"/>
      <c r="AO14" s="6"/>
      <c r="AP14" s="1"/>
      <c r="AQ14" s="12"/>
      <c r="AR14" s="1"/>
      <c r="AS14" s="12"/>
      <c r="AT14" s="1"/>
      <c r="AU14" s="6"/>
      <c r="AV14" s="1"/>
      <c r="AW14" s="11"/>
      <c r="AX14" s="1"/>
      <c r="AY14" s="1"/>
      <c r="AZ14" s="1"/>
      <c r="BA14" s="1"/>
      <c r="BB14" s="10"/>
    </row>
    <row r="15" spans="1:54" x14ac:dyDescent="0.25">
      <c r="A15" s="1" t="s">
        <v>83</v>
      </c>
      <c r="B15" s="11"/>
      <c r="C15" s="1"/>
      <c r="D15" s="1"/>
      <c r="E15" s="1"/>
      <c r="F15" s="1"/>
      <c r="G15" s="1"/>
      <c r="H15" s="1"/>
      <c r="I15" s="1"/>
      <c r="J15" s="1"/>
      <c r="K15" s="1"/>
      <c r="L15" s="10"/>
      <c r="M15" s="1"/>
      <c r="N15" s="11"/>
      <c r="O15" s="1"/>
      <c r="P15" s="1"/>
      <c r="Q15" s="1"/>
      <c r="R15" s="1"/>
      <c r="S15" s="10"/>
      <c r="T15" s="1"/>
      <c r="U15" s="6"/>
      <c r="V15" s="1"/>
      <c r="W15" s="12"/>
      <c r="X15" s="1"/>
      <c r="Y15" s="11"/>
      <c r="Z15" s="1"/>
      <c r="AA15" s="1"/>
      <c r="AB15" s="1"/>
      <c r="AC15" s="1"/>
      <c r="AD15" s="1"/>
      <c r="AE15" s="10"/>
      <c r="AF15" s="1"/>
      <c r="AG15" s="12"/>
      <c r="AH15" s="1"/>
      <c r="AI15" s="11"/>
      <c r="AJ15" s="1"/>
      <c r="AK15" s="1"/>
      <c r="AL15" s="1"/>
      <c r="AM15" s="10"/>
      <c r="AN15" s="1"/>
      <c r="AO15" s="6"/>
      <c r="AP15" s="1"/>
      <c r="AQ15" s="12"/>
      <c r="AR15" s="1"/>
      <c r="AS15" s="12"/>
      <c r="AT15" s="1"/>
      <c r="AU15" s="6"/>
      <c r="AV15" s="1"/>
      <c r="AW15" s="11"/>
      <c r="AX15" s="1"/>
      <c r="AY15" s="1"/>
      <c r="AZ15" s="1"/>
      <c r="BA15" s="1"/>
      <c r="BB15" s="10"/>
    </row>
    <row r="16" spans="1:54" x14ac:dyDescent="0.25">
      <c r="A16" s="1"/>
      <c r="B16" s="11"/>
      <c r="C16" s="1"/>
      <c r="D16" s="1"/>
      <c r="E16" s="1"/>
      <c r="F16" s="1"/>
      <c r="G16" s="1"/>
      <c r="H16" s="1"/>
      <c r="I16" s="1"/>
      <c r="J16" s="1"/>
      <c r="K16" s="1"/>
      <c r="L16" s="10"/>
      <c r="M16" s="1"/>
      <c r="N16" s="11"/>
      <c r="O16" s="1"/>
      <c r="P16" s="1"/>
      <c r="Q16" s="1"/>
      <c r="R16" s="1"/>
      <c r="S16" s="10"/>
      <c r="T16" s="1"/>
      <c r="U16" s="6"/>
      <c r="V16" s="1"/>
      <c r="W16" s="12"/>
      <c r="X16" s="1"/>
      <c r="Y16" s="11"/>
      <c r="Z16" s="1"/>
      <c r="AA16" s="1"/>
      <c r="AB16" s="1"/>
      <c r="AC16" s="1"/>
      <c r="AD16" s="1"/>
      <c r="AE16" s="10"/>
      <c r="AF16" s="1"/>
      <c r="AG16" s="12"/>
      <c r="AH16" s="1"/>
      <c r="AI16" s="11"/>
      <c r="AJ16" s="1"/>
      <c r="AK16" s="1"/>
      <c r="AL16" s="1"/>
      <c r="AM16" s="10"/>
      <c r="AN16" s="1"/>
      <c r="AO16" s="6"/>
      <c r="AP16" s="1"/>
      <c r="AQ16" s="12"/>
      <c r="AR16" s="1"/>
      <c r="AS16" s="12"/>
      <c r="AT16" s="1"/>
      <c r="AU16" s="6"/>
      <c r="AV16" s="1"/>
      <c r="AW16" s="11"/>
      <c r="AX16" s="1"/>
      <c r="AY16" s="1"/>
      <c r="AZ16" s="1"/>
      <c r="BA16" s="1"/>
      <c r="BB16" s="10"/>
    </row>
    <row r="17" spans="1:54" x14ac:dyDescent="0.25">
      <c r="A17" s="1"/>
      <c r="B17" s="11"/>
      <c r="C17" s="1"/>
      <c r="D17" s="1"/>
      <c r="E17" s="1"/>
      <c r="F17" s="1"/>
      <c r="G17" s="1"/>
      <c r="H17" s="1"/>
      <c r="I17" s="1"/>
      <c r="J17" s="1"/>
      <c r="K17" s="1"/>
      <c r="L17" s="10"/>
      <c r="M17" s="1"/>
      <c r="N17" s="11"/>
      <c r="O17" s="1"/>
      <c r="P17" s="1"/>
      <c r="Q17" s="1"/>
      <c r="R17" s="1"/>
      <c r="S17" s="10"/>
      <c r="T17" s="1"/>
      <c r="U17" s="6"/>
      <c r="V17" s="1"/>
      <c r="W17" s="12"/>
      <c r="X17" s="1"/>
      <c r="Y17" s="11"/>
      <c r="Z17" s="1"/>
      <c r="AA17" s="1"/>
      <c r="AB17" s="1"/>
      <c r="AC17" s="1"/>
      <c r="AD17" s="1"/>
      <c r="AE17" s="10"/>
      <c r="AF17" s="1"/>
      <c r="AG17" s="12"/>
      <c r="AH17" s="1"/>
      <c r="AI17" s="11"/>
      <c r="AJ17" s="1"/>
      <c r="AK17" s="1"/>
      <c r="AL17" s="1"/>
      <c r="AM17" s="10"/>
      <c r="AN17" s="1"/>
      <c r="AO17" s="6"/>
      <c r="AP17" s="1"/>
      <c r="AQ17" s="12"/>
      <c r="AR17" s="1"/>
      <c r="AS17" s="12"/>
      <c r="AT17" s="1"/>
      <c r="AU17" s="6"/>
      <c r="AV17" s="1"/>
      <c r="AW17" s="11"/>
      <c r="AX17" s="1"/>
      <c r="AY17" s="1"/>
      <c r="AZ17" s="1"/>
      <c r="BA17" s="1"/>
      <c r="BB17" s="10"/>
    </row>
    <row r="18" spans="1:54" x14ac:dyDescent="0.25">
      <c r="A18" s="1" t="s">
        <v>40</v>
      </c>
      <c r="B18" s="11">
        <v>37921</v>
      </c>
      <c r="C18" s="1">
        <v>0</v>
      </c>
      <c r="D18" s="1">
        <v>68</v>
      </c>
      <c r="E18" s="23">
        <v>3191</v>
      </c>
      <c r="F18" s="23">
        <v>861</v>
      </c>
      <c r="G18" s="23">
        <v>612</v>
      </c>
      <c r="H18" s="23">
        <v>0</v>
      </c>
      <c r="I18" s="23">
        <v>0</v>
      </c>
      <c r="J18" s="23">
        <v>20</v>
      </c>
      <c r="K18" s="1"/>
      <c r="L18" s="10">
        <f>SUM(B18:J18)</f>
        <v>42673</v>
      </c>
      <c r="M18" s="1"/>
      <c r="N18" s="11">
        <f>251+347+1188+351</f>
        <v>2137</v>
      </c>
      <c r="O18" s="1">
        <v>112</v>
      </c>
      <c r="P18" s="1">
        <v>10</v>
      </c>
      <c r="Q18" s="1">
        <v>0</v>
      </c>
      <c r="R18" s="1"/>
      <c r="S18" s="10">
        <f>SUM(N18:Q18)</f>
        <v>2259</v>
      </c>
      <c r="T18" s="1"/>
      <c r="U18" s="6">
        <f>L18-S18</f>
        <v>40414</v>
      </c>
      <c r="V18" s="1"/>
      <c r="W18" s="12">
        <v>700</v>
      </c>
      <c r="X18" s="1"/>
      <c r="Y18" s="11">
        <v>0</v>
      </c>
      <c r="Z18" s="1">
        <v>1517</v>
      </c>
      <c r="AA18" s="23">
        <v>0</v>
      </c>
      <c r="AB18" s="23">
        <f>842+7</f>
        <v>849</v>
      </c>
      <c r="AC18" s="23">
        <f>195+3036-10-22</f>
        <v>3199</v>
      </c>
      <c r="AD18" s="1"/>
      <c r="AE18" s="10">
        <f>SUM(Y18:AC18)</f>
        <v>5565</v>
      </c>
      <c r="AF18" s="1"/>
      <c r="AG18" s="12">
        <v>22</v>
      </c>
      <c r="AH18" s="1"/>
      <c r="AI18" s="11">
        <v>17936</v>
      </c>
      <c r="AJ18" s="1">
        <v>4017</v>
      </c>
      <c r="AK18" s="23">
        <v>10931</v>
      </c>
      <c r="AL18" s="1"/>
      <c r="AM18" s="10">
        <f>SUM(AI18:AK18)</f>
        <v>32884</v>
      </c>
      <c r="AN18" s="1"/>
      <c r="AO18" s="6">
        <f>U18+W18+AE18+AG18-AM18</f>
        <v>13817</v>
      </c>
      <c r="AP18" s="1"/>
      <c r="AQ18" s="12">
        <v>2475</v>
      </c>
      <c r="AR18" s="1"/>
      <c r="AS18" s="12">
        <v>0</v>
      </c>
      <c r="AT18" s="1"/>
      <c r="AU18" s="6">
        <f>AO18-AQ18+AS18</f>
        <v>11342</v>
      </c>
      <c r="AV18" s="1"/>
      <c r="AW18" s="11">
        <v>135094</v>
      </c>
      <c r="AX18" s="1">
        <v>11342</v>
      </c>
      <c r="AY18" s="1">
        <v>0</v>
      </c>
      <c r="AZ18" s="23">
        <v>-6486</v>
      </c>
      <c r="BA18" s="1"/>
      <c r="BB18" s="10">
        <f>AW18+AX18-AY18+AZ18</f>
        <v>139950</v>
      </c>
    </row>
    <row r="19" spans="1:54" x14ac:dyDescent="0.25">
      <c r="A19" s="1" t="s">
        <v>41</v>
      </c>
      <c r="B19" s="11">
        <v>21803</v>
      </c>
      <c r="C19" s="1">
        <v>0</v>
      </c>
      <c r="D19" s="1">
        <v>150</v>
      </c>
      <c r="E19" s="23">
        <v>150</v>
      </c>
      <c r="F19" s="23">
        <v>884</v>
      </c>
      <c r="G19" s="23">
        <v>926</v>
      </c>
      <c r="H19" s="23">
        <v>0</v>
      </c>
      <c r="I19" s="23">
        <v>0</v>
      </c>
      <c r="J19" s="23">
        <v>8</v>
      </c>
      <c r="K19" s="1"/>
      <c r="L19" s="10">
        <f>SUM(B19:J19)</f>
        <v>23921</v>
      </c>
      <c r="M19" s="1"/>
      <c r="N19" s="11">
        <f>310+622+770+89</f>
        <v>1791</v>
      </c>
      <c r="O19" s="1">
        <v>0</v>
      </c>
      <c r="P19" s="1">
        <v>263</v>
      </c>
      <c r="Q19" s="1">
        <v>0</v>
      </c>
      <c r="R19" s="1"/>
      <c r="S19" s="10">
        <f>SUM(N19:Q19)</f>
        <v>2054</v>
      </c>
      <c r="T19" s="1"/>
      <c r="U19" s="6">
        <f>L19-S19</f>
        <v>21867</v>
      </c>
      <c r="V19" s="1"/>
      <c r="W19" s="12">
        <v>-1200</v>
      </c>
      <c r="X19" s="1"/>
      <c r="Y19" s="11">
        <v>1920</v>
      </c>
      <c r="Z19" s="1">
        <v>622</v>
      </c>
      <c r="AA19" s="23">
        <v>0</v>
      </c>
      <c r="AB19" s="23">
        <f>74+3+1013</f>
        <v>1090</v>
      </c>
      <c r="AC19" s="23">
        <f>3083+2264</f>
        <v>5347</v>
      </c>
      <c r="AD19" s="1"/>
      <c r="AE19" s="10">
        <f>SUM(Y19:AC19)</f>
        <v>8979</v>
      </c>
      <c r="AF19" s="1"/>
      <c r="AG19" s="12">
        <v>6546</v>
      </c>
      <c r="AH19" s="1"/>
      <c r="AI19" s="11">
        <v>14197</v>
      </c>
      <c r="AJ19" s="1">
        <v>3133</v>
      </c>
      <c r="AK19" s="23">
        <v>7826</v>
      </c>
      <c r="AL19" s="1"/>
      <c r="AM19" s="10">
        <f>SUM(AI19:AK19)</f>
        <v>25156</v>
      </c>
      <c r="AN19" s="1"/>
      <c r="AO19" s="6">
        <f>U19+W19+AE19+AG19-AM19</f>
        <v>11036</v>
      </c>
      <c r="AP19" s="1"/>
      <c r="AQ19" s="12">
        <v>1895</v>
      </c>
      <c r="AR19" s="1"/>
      <c r="AS19" s="12">
        <v>0</v>
      </c>
      <c r="AT19" s="1"/>
      <c r="AU19" s="6">
        <f>AO19-AQ19+AS19</f>
        <v>9141</v>
      </c>
      <c r="AV19" s="1"/>
      <c r="AW19" s="11">
        <v>100221</v>
      </c>
      <c r="AX19" s="1">
        <v>9141</v>
      </c>
      <c r="AY19" s="1">
        <v>350</v>
      </c>
      <c r="AZ19" s="23">
        <v>-1228</v>
      </c>
      <c r="BA19" s="1"/>
      <c r="BB19" s="10">
        <f>AW19+AX19-AY19+AZ19</f>
        <v>107784</v>
      </c>
    </row>
    <row r="20" spans="1:54" x14ac:dyDescent="0.25">
      <c r="A20" s="1" t="s">
        <v>43</v>
      </c>
      <c r="B20" s="11">
        <v>9183</v>
      </c>
      <c r="C20" s="1">
        <v>0</v>
      </c>
      <c r="D20" s="1">
        <v>194</v>
      </c>
      <c r="E20" s="23">
        <v>284</v>
      </c>
      <c r="F20" s="23">
        <v>264</v>
      </c>
      <c r="G20" s="23">
        <v>492</v>
      </c>
      <c r="H20" s="23">
        <v>0</v>
      </c>
      <c r="I20" s="23">
        <v>0</v>
      </c>
      <c r="J20" s="23">
        <v>4</v>
      </c>
      <c r="K20" s="1"/>
      <c r="L20" s="10">
        <f>SUM(B20:J20)</f>
        <v>10421</v>
      </c>
      <c r="M20" s="1"/>
      <c r="N20" s="11">
        <f>37+226+512+174</f>
        <v>949</v>
      </c>
      <c r="O20" s="1">
        <v>8</v>
      </c>
      <c r="P20" s="1">
        <v>0</v>
      </c>
      <c r="Q20" s="1">
        <v>0</v>
      </c>
      <c r="R20" s="1"/>
      <c r="S20" s="10">
        <f>SUM(N20:Q20)</f>
        <v>957</v>
      </c>
      <c r="T20" s="1"/>
      <c r="U20" s="6">
        <f>L20-S20</f>
        <v>9464</v>
      </c>
      <c r="V20" s="1"/>
      <c r="W20" s="12">
        <v>0</v>
      </c>
      <c r="X20" s="1"/>
      <c r="Y20" s="11">
        <v>0</v>
      </c>
      <c r="Z20" s="1">
        <v>546</v>
      </c>
      <c r="AA20" s="23">
        <v>0</v>
      </c>
      <c r="AB20" s="23">
        <v>511</v>
      </c>
      <c r="AC20" s="23">
        <f>1133+1873</f>
        <v>3006</v>
      </c>
      <c r="AD20" s="1"/>
      <c r="AE20" s="10">
        <f>SUM(Y20:AC20)</f>
        <v>4063</v>
      </c>
      <c r="AF20" s="1"/>
      <c r="AG20" s="12">
        <v>0</v>
      </c>
      <c r="AH20" s="1"/>
      <c r="AI20" s="11">
        <v>6309</v>
      </c>
      <c r="AJ20" s="1">
        <v>1101</v>
      </c>
      <c r="AK20" s="23">
        <v>3375</v>
      </c>
      <c r="AL20" s="1"/>
      <c r="AM20" s="10">
        <f>SUM(AI20:AK20)</f>
        <v>10785</v>
      </c>
      <c r="AN20" s="1"/>
      <c r="AO20" s="6">
        <f>U20+W20+AE20+AG20-AM20</f>
        <v>2742</v>
      </c>
      <c r="AP20" s="1"/>
      <c r="AQ20" s="12">
        <v>421</v>
      </c>
      <c r="AR20" s="1"/>
      <c r="AS20" s="12">
        <v>0</v>
      </c>
      <c r="AT20" s="1"/>
      <c r="AU20" s="6">
        <f>AO20-AQ20+AS20</f>
        <v>2321</v>
      </c>
      <c r="AV20" s="1"/>
      <c r="AW20" s="11">
        <v>36522</v>
      </c>
      <c r="AX20" s="1">
        <v>2321</v>
      </c>
      <c r="AY20" s="1">
        <v>543</v>
      </c>
      <c r="AZ20" s="23">
        <f>-220-593</f>
        <v>-813</v>
      </c>
      <c r="BA20" s="1"/>
      <c r="BB20" s="10">
        <f>AW20+AX20-AY20+AZ20</f>
        <v>37487</v>
      </c>
    </row>
    <row r="21" spans="1:54" x14ac:dyDescent="0.25">
      <c r="A21" s="1" t="s">
        <v>44</v>
      </c>
      <c r="B21" s="11">
        <v>36261</v>
      </c>
      <c r="C21" s="1">
        <v>0</v>
      </c>
      <c r="D21" s="1">
        <v>239</v>
      </c>
      <c r="E21" s="23">
        <v>247</v>
      </c>
      <c r="F21" s="23">
        <v>1603</v>
      </c>
      <c r="G21" s="23">
        <v>905</v>
      </c>
      <c r="H21" s="23">
        <v>0</v>
      </c>
      <c r="I21" s="23">
        <v>0</v>
      </c>
      <c r="J21" s="23">
        <v>18</v>
      </c>
      <c r="K21" s="1"/>
      <c r="L21" s="10">
        <f>SUM(B21:J21)</f>
        <v>39273</v>
      </c>
      <c r="M21" s="1"/>
      <c r="N21" s="11">
        <f>586+1644+706+211</f>
        <v>3147</v>
      </c>
      <c r="O21" s="1">
        <v>0</v>
      </c>
      <c r="P21" s="1">
        <v>219</v>
      </c>
      <c r="Q21" s="1">
        <v>0</v>
      </c>
      <c r="R21" s="1"/>
      <c r="S21" s="10">
        <f>SUM(N21:Q21)</f>
        <v>3366</v>
      </c>
      <c r="T21" s="1"/>
      <c r="U21" s="6">
        <f>L21-S21</f>
        <v>35907</v>
      </c>
      <c r="V21" s="1"/>
      <c r="W21" s="12"/>
      <c r="X21" s="1"/>
      <c r="Y21" s="11">
        <v>808</v>
      </c>
      <c r="Z21" s="1">
        <v>1145</v>
      </c>
      <c r="AA21" s="1">
        <v>0</v>
      </c>
      <c r="AB21" s="23">
        <v>1823</v>
      </c>
      <c r="AC21" s="23">
        <f>4956+13-108+4233</f>
        <v>9094</v>
      </c>
      <c r="AD21" s="1"/>
      <c r="AE21" s="10">
        <f>SUM(Y21:AC21)</f>
        <v>12870</v>
      </c>
      <c r="AF21" s="1"/>
      <c r="AG21" s="12">
        <v>-29</v>
      </c>
      <c r="AH21" s="1"/>
      <c r="AI21" s="11">
        <v>19024</v>
      </c>
      <c r="AJ21" s="1">
        <v>5206</v>
      </c>
      <c r="AK21" s="23">
        <f>71+7857</f>
        <v>7928</v>
      </c>
      <c r="AL21" s="1"/>
      <c r="AM21" s="10">
        <f>SUM(AI21:AK21)</f>
        <v>32158</v>
      </c>
      <c r="AN21" s="1"/>
      <c r="AO21" s="6">
        <f>U21+W21+AE21+AG21-AM21</f>
        <v>16590</v>
      </c>
      <c r="AP21" s="1"/>
      <c r="AQ21" s="12">
        <v>2810</v>
      </c>
      <c r="AR21" s="1"/>
      <c r="AS21" s="12">
        <v>0</v>
      </c>
      <c r="AT21" s="1"/>
      <c r="AU21" s="6">
        <f>AO21-AQ21+AS21</f>
        <v>13780</v>
      </c>
      <c r="AV21" s="1"/>
      <c r="AW21" s="11">
        <v>80257</v>
      </c>
      <c r="AX21" s="1">
        <v>13780</v>
      </c>
      <c r="AY21" s="1">
        <v>5400</v>
      </c>
      <c r="AZ21" s="23">
        <f>367-4187+15000</f>
        <v>11180</v>
      </c>
      <c r="BA21" s="1"/>
      <c r="BB21" s="10">
        <f>AW21+AX21-AY21+AZ21</f>
        <v>99817</v>
      </c>
    </row>
    <row r="22" spans="1:54" x14ac:dyDescent="0.25">
      <c r="A22" s="1"/>
      <c r="B22" s="11"/>
      <c r="C22" s="1"/>
      <c r="D22" s="1"/>
      <c r="E22" s="1"/>
      <c r="F22" s="1"/>
      <c r="G22" s="1"/>
      <c r="H22" s="1"/>
      <c r="I22" s="1"/>
      <c r="J22" s="1"/>
      <c r="K22" s="1"/>
      <c r="L22" s="10"/>
      <c r="M22" s="1"/>
      <c r="N22" s="11"/>
      <c r="O22" s="1"/>
      <c r="P22" s="1"/>
      <c r="Q22" s="1"/>
      <c r="R22" s="1"/>
      <c r="S22" s="10"/>
      <c r="T22" s="1"/>
      <c r="U22" s="6"/>
      <c r="V22" s="1"/>
      <c r="W22" s="12"/>
      <c r="X22" s="1"/>
      <c r="Y22" s="11"/>
      <c r="Z22" s="1"/>
      <c r="AA22" s="1"/>
      <c r="AB22" s="1"/>
      <c r="AC22" s="1"/>
      <c r="AD22" s="1"/>
      <c r="AE22" s="10"/>
      <c r="AF22" s="1"/>
      <c r="AG22" s="12"/>
      <c r="AH22" s="1"/>
      <c r="AI22" s="11"/>
      <c r="AJ22" s="1"/>
      <c r="AK22" s="1"/>
      <c r="AL22" s="1"/>
      <c r="AM22" s="10"/>
      <c r="AN22" s="1"/>
      <c r="AO22" s="6"/>
      <c r="AP22" s="1"/>
      <c r="AQ22" s="12"/>
      <c r="AR22" s="1"/>
      <c r="AS22" s="12"/>
      <c r="AT22" s="1"/>
      <c r="AU22" s="6"/>
      <c r="AV22" s="1"/>
      <c r="AW22" s="11"/>
      <c r="AX22" s="1"/>
      <c r="AY22" s="1"/>
      <c r="AZ22" s="1"/>
      <c r="BA22" s="1"/>
      <c r="BB22" s="10"/>
    </row>
    <row r="23" spans="1:54" x14ac:dyDescent="0.25">
      <c r="A23" s="1" t="s">
        <v>85</v>
      </c>
      <c r="B23" s="19">
        <f t="shared" ref="B23:J23" si="1">SUM(B18:B21)</f>
        <v>105168</v>
      </c>
      <c r="C23" s="20">
        <f t="shared" si="1"/>
        <v>0</v>
      </c>
      <c r="D23" s="20">
        <f t="shared" si="1"/>
        <v>651</v>
      </c>
      <c r="E23" s="20">
        <f t="shared" si="1"/>
        <v>3872</v>
      </c>
      <c r="F23" s="20">
        <f t="shared" si="1"/>
        <v>3612</v>
      </c>
      <c r="G23" s="20">
        <f t="shared" si="1"/>
        <v>2935</v>
      </c>
      <c r="H23" s="20">
        <f t="shared" si="1"/>
        <v>0</v>
      </c>
      <c r="I23" s="20">
        <f t="shared" si="1"/>
        <v>0</v>
      </c>
      <c r="J23" s="20">
        <f t="shared" si="1"/>
        <v>50</v>
      </c>
      <c r="K23" s="20"/>
      <c r="L23" s="21">
        <f>IF(SUM(L18:L21)=SUM(B23:J23),SUM(L18:L21),"ERROR")</f>
        <v>116288</v>
      </c>
      <c r="M23" s="1"/>
      <c r="N23" s="19">
        <f>SUM(N18:N21)</f>
        <v>8024</v>
      </c>
      <c r="O23" s="20">
        <f>SUM(O18:O21)</f>
        <v>120</v>
      </c>
      <c r="P23" s="20">
        <f>SUM(P18:P21)</f>
        <v>492</v>
      </c>
      <c r="Q23" s="20">
        <f>SUM(Q18:Q21)</f>
        <v>0</v>
      </c>
      <c r="R23" s="20"/>
      <c r="S23" s="21">
        <f>IF(SUM(S18:S21)=SUM(N23:Q23),SUM(S18:S21),"ERROR")</f>
        <v>8636</v>
      </c>
      <c r="T23" s="1"/>
      <c r="U23" s="6">
        <f>SUM(U18:U21)</f>
        <v>107652</v>
      </c>
      <c r="V23" s="1"/>
      <c r="W23" s="19">
        <f>SUM(W18:W21)</f>
        <v>-500</v>
      </c>
      <c r="X23" s="1"/>
      <c r="Y23" s="19">
        <f>SUM(Y18:Y21)</f>
        <v>2728</v>
      </c>
      <c r="Z23" s="20">
        <f>SUM(Z18:Z21)</f>
        <v>3830</v>
      </c>
      <c r="AA23" s="20">
        <f>SUM(AA18:AA21)</f>
        <v>0</v>
      </c>
      <c r="AB23" s="20">
        <f>SUM(AB18:AB21)</f>
        <v>4273</v>
      </c>
      <c r="AC23" s="20">
        <f>SUM(AC18:AC21)</f>
        <v>20646</v>
      </c>
      <c r="AD23" s="20"/>
      <c r="AE23" s="21">
        <f>IF(SUM(AE18:AE21)=SUM(Y23:AC23),SUM(AE18:AE21),"ERROR")</f>
        <v>31477</v>
      </c>
      <c r="AF23" s="1"/>
      <c r="AG23" s="22">
        <f>SUM(AG18:AG21)</f>
        <v>6539</v>
      </c>
      <c r="AH23" s="1"/>
      <c r="AI23" s="19">
        <f>SUM(AI18:AI21)</f>
        <v>57466</v>
      </c>
      <c r="AJ23" s="20">
        <f>SUM(AJ18:AJ21)</f>
        <v>13457</v>
      </c>
      <c r="AK23" s="20">
        <f>SUM(AK18:AK21)</f>
        <v>30060</v>
      </c>
      <c r="AL23" s="20"/>
      <c r="AM23" s="21">
        <f>IF(SUM(AM18:AM21)=SUM(AI23:AK23),SUM(AM18:AM21),"ERROR")</f>
        <v>100983</v>
      </c>
      <c r="AN23" s="1"/>
      <c r="AO23" s="6">
        <f>SUM(AO18:AO21)</f>
        <v>44185</v>
      </c>
      <c r="AP23" s="1"/>
      <c r="AQ23" s="22">
        <f>SUM(AQ18:AQ21)</f>
        <v>7601</v>
      </c>
      <c r="AR23" s="1"/>
      <c r="AS23" s="22">
        <f>SUM(AS18:AS21)</f>
        <v>0</v>
      </c>
      <c r="AT23" s="1"/>
      <c r="AU23" s="6">
        <f>SUM(AU18:AU21)</f>
        <v>36584</v>
      </c>
      <c r="AV23" s="1"/>
      <c r="AW23" s="19">
        <f>SUM(AW18:AW21)</f>
        <v>352094</v>
      </c>
      <c r="AX23" s="20">
        <f>SUM(AX18:AX21)</f>
        <v>36584</v>
      </c>
      <c r="AY23" s="20">
        <f>SUM(AY18:AY21)</f>
        <v>6293</v>
      </c>
      <c r="AZ23" s="20">
        <f>SUM(AZ18:AZ21)</f>
        <v>2653</v>
      </c>
      <c r="BA23" s="20"/>
      <c r="BB23" s="21">
        <f>IF(SUM(BB18:BB21)=(SUM(AW23:AZ23)-(AY23*2)),SUM(BB18:BB21),"ERROR")</f>
        <v>385038</v>
      </c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I59"/>
  <sheetViews>
    <sheetView showGridLines="0" defaultGridColor="0" colorId="22" workbookViewId="0">
      <selection activeCell="E40" sqref="E40"/>
    </sheetView>
  </sheetViews>
  <sheetFormatPr defaultColWidth="9.6640625" defaultRowHeight="13.2" x14ac:dyDescent="0.25"/>
  <cols>
    <col min="1" max="3" width="4.6640625" style="34" customWidth="1"/>
    <col min="4" max="4" width="34.33203125" style="34" customWidth="1"/>
    <col min="5" max="5" width="10.6640625" style="34" customWidth="1"/>
    <col min="6" max="6" width="4.6640625" style="34" customWidth="1"/>
    <col min="7" max="7" width="10.5546875" style="34" customWidth="1"/>
    <col min="8" max="8" width="4.6640625" style="34" customWidth="1"/>
    <col min="9" max="9" width="10.88671875" style="34" customWidth="1"/>
  </cols>
  <sheetData>
    <row r="1" spans="1:9" ht="15" customHeight="1" x14ac:dyDescent="0.25">
      <c r="A1" s="38" t="s">
        <v>75</v>
      </c>
      <c r="B1" s="38"/>
      <c r="C1" s="38"/>
      <c r="D1" s="38"/>
      <c r="E1" s="38"/>
      <c r="F1" s="38"/>
      <c r="G1" s="38"/>
      <c r="H1" s="38"/>
      <c r="I1" s="38"/>
    </row>
    <row r="2" spans="1:9" ht="13.8" x14ac:dyDescent="0.25">
      <c r="A2" s="39" t="s">
        <v>89</v>
      </c>
      <c r="B2" s="39"/>
      <c r="C2" s="39"/>
      <c r="D2" s="39"/>
      <c r="E2" s="39"/>
      <c r="F2" s="39"/>
      <c r="G2" s="39"/>
      <c r="H2" s="39"/>
      <c r="I2" s="39"/>
    </row>
    <row r="3" spans="1:9" ht="12" customHeigh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ht="13.8" x14ac:dyDescent="0.25">
      <c r="A4" s="25"/>
      <c r="B4" s="25"/>
      <c r="C4" s="25"/>
      <c r="D4" s="25"/>
      <c r="E4" s="24">
        <v>2</v>
      </c>
      <c r="F4" s="24"/>
      <c r="G4" s="24">
        <v>4</v>
      </c>
      <c r="H4" s="24"/>
      <c r="I4" s="24">
        <v>6</v>
      </c>
    </row>
    <row r="5" spans="1:9" ht="13.8" x14ac:dyDescent="0.25">
      <c r="A5" s="25"/>
      <c r="B5" s="25"/>
      <c r="C5" s="25"/>
      <c r="D5" s="25"/>
      <c r="E5" s="24" t="s">
        <v>76</v>
      </c>
      <c r="F5" s="24"/>
      <c r="G5" s="24" t="s">
        <v>77</v>
      </c>
      <c r="H5" s="24"/>
      <c r="I5" s="24" t="s">
        <v>45</v>
      </c>
    </row>
    <row r="6" spans="1:9" ht="13.8" x14ac:dyDescent="0.25">
      <c r="A6" s="25"/>
      <c r="B6" s="25"/>
      <c r="C6" s="25"/>
      <c r="D6" s="25"/>
      <c r="E6" s="24" t="s">
        <v>78</v>
      </c>
      <c r="F6" s="24"/>
      <c r="G6" s="24" t="s">
        <v>78</v>
      </c>
      <c r="H6" s="24"/>
      <c r="I6" s="24" t="s">
        <v>78</v>
      </c>
    </row>
    <row r="7" spans="1:9" ht="13.8" x14ac:dyDescent="0.25">
      <c r="A7" s="25"/>
      <c r="B7" s="25"/>
      <c r="C7" s="25"/>
      <c r="D7" s="25"/>
      <c r="E7" s="26" t="s">
        <v>79</v>
      </c>
      <c r="F7" s="26"/>
      <c r="G7" s="26" t="s">
        <v>79</v>
      </c>
      <c r="H7" s="26"/>
      <c r="I7" s="26" t="s">
        <v>79</v>
      </c>
    </row>
    <row r="8" spans="1:9" ht="12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12.6" customHeight="1" x14ac:dyDescent="0.25">
      <c r="A9" s="27" t="s">
        <v>0</v>
      </c>
      <c r="B9" s="25"/>
      <c r="C9" s="25"/>
      <c r="D9" s="25"/>
      <c r="E9" s="25"/>
      <c r="F9" s="25"/>
      <c r="G9" s="25"/>
      <c r="H9" s="25"/>
      <c r="I9" s="25"/>
    </row>
    <row r="10" spans="1:9" ht="12.6" customHeight="1" x14ac:dyDescent="0.25">
      <c r="A10" s="25"/>
      <c r="B10" s="25" t="s">
        <v>8</v>
      </c>
      <c r="C10" s="25"/>
      <c r="D10" s="25"/>
      <c r="E10" s="28">
        <f>'Input Sheet'!B11</f>
        <v>14371</v>
      </c>
      <c r="F10" s="28"/>
      <c r="G10" s="28">
        <f>'Input Sheet'!B23</f>
        <v>105168</v>
      </c>
      <c r="H10" s="28"/>
      <c r="I10" s="28">
        <f t="shared" ref="I10:I15" si="0">E10+G10</f>
        <v>119539</v>
      </c>
    </row>
    <row r="11" spans="1:9" ht="12.6" customHeight="1" x14ac:dyDescent="0.25">
      <c r="A11" s="25"/>
      <c r="B11" s="25" t="s">
        <v>9</v>
      </c>
      <c r="C11" s="25"/>
      <c r="D11" s="25"/>
      <c r="E11" s="29">
        <f>'Input Sheet'!C11</f>
        <v>0</v>
      </c>
      <c r="F11" s="29"/>
      <c r="G11" s="29">
        <f>'Input Sheet'!C23</f>
        <v>0</v>
      </c>
      <c r="H11" s="29"/>
      <c r="I11" s="29">
        <f t="shared" si="0"/>
        <v>0</v>
      </c>
    </row>
    <row r="12" spans="1:9" ht="12.6" customHeight="1" x14ac:dyDescent="0.25">
      <c r="A12" s="25"/>
      <c r="B12" s="25" t="s">
        <v>80</v>
      </c>
      <c r="C12" s="25"/>
      <c r="D12" s="25"/>
      <c r="E12" s="29">
        <f>'Input Sheet'!E11</f>
        <v>87</v>
      </c>
      <c r="F12" s="29"/>
      <c r="G12" s="29">
        <f>'Input Sheet'!E23</f>
        <v>3872</v>
      </c>
      <c r="H12" s="29"/>
      <c r="I12" s="29">
        <f t="shared" si="0"/>
        <v>3959</v>
      </c>
    </row>
    <row r="13" spans="1:9" ht="12.6" customHeight="1" x14ac:dyDescent="0.25">
      <c r="A13" s="25"/>
      <c r="B13" s="25" t="s">
        <v>73</v>
      </c>
      <c r="C13" s="25"/>
      <c r="D13" s="25"/>
      <c r="E13" s="29">
        <f>'Input Sheet'!F11</f>
        <v>271</v>
      </c>
      <c r="F13" s="29"/>
      <c r="G13" s="29">
        <f>'Input Sheet'!F23</f>
        <v>3612</v>
      </c>
      <c r="H13" s="29"/>
      <c r="I13" s="29">
        <f t="shared" si="0"/>
        <v>3883</v>
      </c>
    </row>
    <row r="14" spans="1:9" ht="12.6" customHeight="1" x14ac:dyDescent="0.25">
      <c r="A14" s="25"/>
      <c r="B14" s="25" t="s">
        <v>12</v>
      </c>
      <c r="C14" s="25"/>
      <c r="D14" s="25"/>
      <c r="E14" s="29">
        <f>'Input Sheet'!G11</f>
        <v>868</v>
      </c>
      <c r="F14" s="29"/>
      <c r="G14" s="29">
        <f>'Input Sheet'!G23</f>
        <v>2935</v>
      </c>
      <c r="H14" s="29"/>
      <c r="I14" s="29">
        <f t="shared" si="0"/>
        <v>3803</v>
      </c>
    </row>
    <row r="15" spans="1:9" ht="12.6" customHeight="1" x14ac:dyDescent="0.25">
      <c r="A15" s="25"/>
      <c r="B15" s="25" t="s">
        <v>46</v>
      </c>
      <c r="C15" s="25"/>
      <c r="D15" s="25"/>
      <c r="E15" s="29">
        <f>'Input Sheet'!H11</f>
        <v>0</v>
      </c>
      <c r="F15" s="29"/>
      <c r="G15" s="29">
        <f>'Input Sheet'!H23</f>
        <v>0</v>
      </c>
      <c r="H15" s="29"/>
      <c r="I15" s="29">
        <f t="shared" si="0"/>
        <v>0</v>
      </c>
    </row>
    <row r="16" spans="1:9" ht="12.6" customHeight="1" x14ac:dyDescent="0.25">
      <c r="A16" s="25"/>
      <c r="B16" s="25" t="s">
        <v>47</v>
      </c>
      <c r="C16" s="25"/>
      <c r="D16" s="25"/>
      <c r="E16" s="29"/>
      <c r="F16" s="29"/>
      <c r="G16" s="29"/>
      <c r="H16" s="29"/>
      <c r="I16" s="29"/>
    </row>
    <row r="17" spans="1:9" ht="12.6" customHeight="1" x14ac:dyDescent="0.25">
      <c r="A17" s="25"/>
      <c r="B17" s="25"/>
      <c r="C17" s="25" t="s">
        <v>48</v>
      </c>
      <c r="D17" s="25"/>
      <c r="E17" s="29">
        <f>'Input Sheet'!I11</f>
        <v>1</v>
      </c>
      <c r="F17" s="29"/>
      <c r="G17" s="29">
        <f>'Input Sheet'!I23</f>
        <v>0</v>
      </c>
      <c r="H17" s="29"/>
      <c r="I17" s="29">
        <f>E17+G17</f>
        <v>1</v>
      </c>
    </row>
    <row r="18" spans="1:9" ht="12.6" customHeight="1" x14ac:dyDescent="0.25">
      <c r="A18" s="25"/>
      <c r="B18" s="25" t="s">
        <v>49</v>
      </c>
      <c r="C18" s="25"/>
      <c r="D18" s="25"/>
      <c r="E18" s="29"/>
      <c r="F18" s="29"/>
      <c r="G18" s="29"/>
      <c r="H18" s="29"/>
      <c r="I18" s="29"/>
    </row>
    <row r="19" spans="1:9" ht="12.6" customHeight="1" x14ac:dyDescent="0.25">
      <c r="A19" s="25"/>
      <c r="B19" s="25"/>
      <c r="C19" s="25" t="s">
        <v>50</v>
      </c>
      <c r="D19" s="25"/>
      <c r="E19" s="29">
        <f>'Input Sheet'!D11</f>
        <v>134</v>
      </c>
      <c r="F19" s="29"/>
      <c r="G19" s="29">
        <f>'Input Sheet'!D23</f>
        <v>651</v>
      </c>
      <c r="H19" s="29"/>
      <c r="I19" s="29">
        <f>E19+G19</f>
        <v>785</v>
      </c>
    </row>
    <row r="20" spans="1:9" ht="12.6" customHeight="1" x14ac:dyDescent="0.25">
      <c r="A20" s="25"/>
      <c r="B20" s="25" t="s">
        <v>74</v>
      </c>
      <c r="C20" s="25"/>
      <c r="D20" s="25"/>
      <c r="E20" s="30">
        <f>'Input Sheet'!$J$11</f>
        <v>12</v>
      </c>
      <c r="F20" s="30"/>
      <c r="G20" s="30">
        <f>'Input Sheet'!$J$23</f>
        <v>50</v>
      </c>
      <c r="H20" s="30"/>
      <c r="I20" s="30">
        <f>E20+G20</f>
        <v>62</v>
      </c>
    </row>
    <row r="21" spans="1:9" ht="12.6" customHeight="1" x14ac:dyDescent="0.25">
      <c r="A21" s="25"/>
      <c r="B21" s="25"/>
      <c r="C21" s="25"/>
      <c r="D21" s="25"/>
      <c r="E21" s="30"/>
      <c r="F21" s="30"/>
      <c r="G21" s="30"/>
      <c r="H21" s="30"/>
      <c r="I21" s="30"/>
    </row>
    <row r="22" spans="1:9" ht="12.6" customHeight="1" x14ac:dyDescent="0.25">
      <c r="A22" s="25"/>
      <c r="B22" s="25"/>
      <c r="C22" s="25"/>
      <c r="D22" s="25" t="s">
        <v>51</v>
      </c>
      <c r="E22" s="28">
        <f>IF(SUM(E10:E20)='Input Sheet'!L11,SUM(E10:E20),"ERROR")</f>
        <v>15744</v>
      </c>
      <c r="F22" s="28"/>
      <c r="G22" s="28">
        <f>IF(SUM(G10:G20)='Input Sheet'!L23,SUM(G10:G20),"ERROR")</f>
        <v>116288</v>
      </c>
      <c r="H22" s="28"/>
      <c r="I22" s="28">
        <f>IF(SUM(I10:I20)=SUM(E22:G22),SUM(I10:I20),"ERROR")</f>
        <v>132032</v>
      </c>
    </row>
    <row r="23" spans="1:9" ht="12" customHeight="1" x14ac:dyDescent="0.25">
      <c r="A23" s="25"/>
      <c r="B23" s="25"/>
      <c r="C23" s="25"/>
      <c r="D23" s="25"/>
      <c r="E23" s="29"/>
      <c r="F23" s="29"/>
      <c r="G23" s="29"/>
      <c r="H23" s="29"/>
      <c r="I23" s="29"/>
    </row>
    <row r="24" spans="1:9" ht="12" customHeight="1" x14ac:dyDescent="0.25">
      <c r="A24" s="27" t="s">
        <v>1</v>
      </c>
      <c r="B24" s="25"/>
      <c r="C24" s="25"/>
      <c r="D24" s="25"/>
      <c r="E24" s="29"/>
      <c r="F24" s="29"/>
      <c r="G24" s="29"/>
      <c r="H24" s="29"/>
      <c r="I24" s="29"/>
    </row>
    <row r="25" spans="1:9" ht="12" customHeight="1" x14ac:dyDescent="0.25">
      <c r="A25" s="25"/>
      <c r="B25" s="25" t="s">
        <v>16</v>
      </c>
      <c r="C25" s="25"/>
      <c r="D25" s="25"/>
      <c r="E25" s="28">
        <f>'Input Sheet'!N11</f>
        <v>1153</v>
      </c>
      <c r="F25" s="28"/>
      <c r="G25" s="28">
        <f>'Input Sheet'!N23</f>
        <v>8024</v>
      </c>
      <c r="H25" s="28"/>
      <c r="I25" s="28">
        <f>E25+G25</f>
        <v>9177</v>
      </c>
    </row>
    <row r="26" spans="1:9" ht="12" customHeight="1" x14ac:dyDescent="0.25">
      <c r="A26" s="25"/>
      <c r="B26" s="25" t="s">
        <v>52</v>
      </c>
      <c r="C26" s="25"/>
      <c r="D26" s="25"/>
      <c r="E26" s="29">
        <f>'Input Sheet'!Q11</f>
        <v>0</v>
      </c>
      <c r="F26" s="29"/>
      <c r="G26" s="29">
        <f>'Input Sheet'!Q23</f>
        <v>0</v>
      </c>
      <c r="H26" s="29"/>
      <c r="I26" s="29">
        <f>E26+G26</f>
        <v>0</v>
      </c>
    </row>
    <row r="27" spans="1:9" ht="12" customHeight="1" x14ac:dyDescent="0.25">
      <c r="A27" s="25"/>
      <c r="B27" s="25" t="s">
        <v>53</v>
      </c>
      <c r="C27" s="25"/>
      <c r="D27" s="25"/>
      <c r="E27" s="29">
        <f>'Input Sheet'!P11</f>
        <v>176</v>
      </c>
      <c r="F27" s="29"/>
      <c r="G27" s="29">
        <f>'Input Sheet'!P23</f>
        <v>492</v>
      </c>
      <c r="H27" s="29"/>
      <c r="I27" s="29">
        <f>E27+G27</f>
        <v>668</v>
      </c>
    </row>
    <row r="28" spans="1:9" ht="12" customHeight="1" x14ac:dyDescent="0.25">
      <c r="A28" s="25"/>
      <c r="B28" s="25" t="s">
        <v>54</v>
      </c>
      <c r="C28" s="25"/>
      <c r="D28" s="25"/>
      <c r="E28" s="29"/>
      <c r="F28" s="29"/>
      <c r="G28" s="29"/>
      <c r="H28" s="29"/>
      <c r="I28" s="29"/>
    </row>
    <row r="29" spans="1:9" ht="12" customHeight="1" x14ac:dyDescent="0.25">
      <c r="A29" s="25"/>
      <c r="B29" s="25"/>
      <c r="C29" s="25" t="s">
        <v>55</v>
      </c>
      <c r="D29" s="25"/>
      <c r="E29" s="30">
        <f>'Input Sheet'!O11</f>
        <v>0</v>
      </c>
      <c r="F29" s="30"/>
      <c r="G29" s="30">
        <f>'Input Sheet'!O23</f>
        <v>120</v>
      </c>
      <c r="H29" s="30"/>
      <c r="I29" s="30">
        <f>E29+G29</f>
        <v>120</v>
      </c>
    </row>
    <row r="30" spans="1:9" ht="12" customHeight="1" x14ac:dyDescent="0.25">
      <c r="A30" s="25"/>
      <c r="B30" s="25"/>
      <c r="C30" s="25"/>
      <c r="D30" s="25"/>
      <c r="E30" s="30"/>
      <c r="F30" s="30"/>
      <c r="G30" s="30"/>
      <c r="H30" s="30"/>
      <c r="I30" s="30"/>
    </row>
    <row r="31" spans="1:9" ht="12" customHeight="1" x14ac:dyDescent="0.25">
      <c r="A31" s="25"/>
      <c r="B31" s="25"/>
      <c r="C31" s="25"/>
      <c r="D31" s="25" t="s">
        <v>56</v>
      </c>
      <c r="E31" s="28">
        <f>IF(SUM(E25:E29)='Input Sheet'!S11,SUM(E25:E29),"ERROR")</f>
        <v>1329</v>
      </c>
      <c r="F31" s="28"/>
      <c r="G31" s="28">
        <f>IF(SUM(G25:G29)='Input Sheet'!S23,SUM(G25:G29),"ERROR")</f>
        <v>8636</v>
      </c>
      <c r="H31" s="28"/>
      <c r="I31" s="28">
        <f>IF(SUM(I25:I29)=SUM(E31:G31),SUM(I25:I29),"ERROR")</f>
        <v>9965</v>
      </c>
    </row>
    <row r="32" spans="1:9" ht="12" customHeight="1" x14ac:dyDescent="0.25">
      <c r="A32" s="25"/>
      <c r="B32" s="25"/>
      <c r="C32" s="25"/>
      <c r="D32" s="25"/>
      <c r="E32" s="29"/>
      <c r="F32" s="29"/>
      <c r="G32" s="29"/>
      <c r="H32" s="29"/>
      <c r="I32" s="29"/>
    </row>
    <row r="33" spans="1:9" ht="12" customHeight="1" x14ac:dyDescent="0.25">
      <c r="A33" s="27" t="s">
        <v>57</v>
      </c>
      <c r="B33" s="27"/>
      <c r="C33" s="25"/>
      <c r="D33" s="25"/>
      <c r="E33" s="28">
        <f>IF((E22-E31)='Input Sheet'!U11,(E22-E31),"ERROR")</f>
        <v>14415</v>
      </c>
      <c r="F33" s="28"/>
      <c r="G33" s="28">
        <f>IF((G22-G31)='Input Sheet'!U23,(G22-G31),"ERROR")</f>
        <v>107652</v>
      </c>
      <c r="H33" s="28"/>
      <c r="I33" s="28">
        <f>I22-I31</f>
        <v>122067</v>
      </c>
    </row>
    <row r="34" spans="1:9" ht="12" customHeight="1" x14ac:dyDescent="0.25">
      <c r="A34" s="25"/>
      <c r="B34" s="25" t="s">
        <v>58</v>
      </c>
      <c r="C34" s="25"/>
      <c r="D34" s="25"/>
      <c r="E34" s="30">
        <f>'Input Sheet'!W11</f>
        <v>-440</v>
      </c>
      <c r="F34" s="30"/>
      <c r="G34" s="30">
        <f>'Input Sheet'!W23</f>
        <v>-500</v>
      </c>
      <c r="H34" s="30"/>
      <c r="I34" s="30">
        <f>E34+G34</f>
        <v>-940</v>
      </c>
    </row>
    <row r="35" spans="1:9" ht="12" customHeight="1" x14ac:dyDescent="0.25">
      <c r="A35" s="25"/>
      <c r="B35" s="25"/>
      <c r="C35" s="25"/>
      <c r="D35" s="25"/>
      <c r="E35" s="29"/>
      <c r="F35" s="29"/>
      <c r="G35" s="29"/>
      <c r="H35" s="29"/>
      <c r="I35" s="29"/>
    </row>
    <row r="36" spans="1:9" ht="12" customHeight="1" x14ac:dyDescent="0.25">
      <c r="A36" s="27" t="s">
        <v>69</v>
      </c>
      <c r="B36" s="25"/>
      <c r="C36" s="25"/>
      <c r="D36" s="25"/>
      <c r="E36" s="28">
        <f>SUM(E33:E34)</f>
        <v>13975</v>
      </c>
      <c r="F36" s="28"/>
      <c r="G36" s="28">
        <f>SUM(G33:G34)</f>
        <v>107152</v>
      </c>
      <c r="H36" s="28"/>
      <c r="I36" s="28">
        <f>SUM(I33:I34)</f>
        <v>121127</v>
      </c>
    </row>
    <row r="37" spans="1:9" ht="12" customHeight="1" x14ac:dyDescent="0.25">
      <c r="A37" s="25"/>
      <c r="B37" s="25"/>
      <c r="C37" s="25"/>
      <c r="D37" s="25"/>
      <c r="E37" s="29"/>
      <c r="F37" s="29"/>
      <c r="G37" s="29"/>
      <c r="H37" s="29"/>
      <c r="I37" s="29"/>
    </row>
    <row r="38" spans="1:9" ht="12" customHeight="1" x14ac:dyDescent="0.25">
      <c r="A38" s="27" t="s">
        <v>59</v>
      </c>
      <c r="B38" s="25"/>
      <c r="C38" s="25"/>
      <c r="D38" s="25"/>
      <c r="E38" s="29"/>
      <c r="F38" s="29"/>
      <c r="G38" s="29"/>
      <c r="H38" s="29"/>
      <c r="I38" s="29"/>
    </row>
    <row r="39" spans="1:9" ht="12" customHeight="1" x14ac:dyDescent="0.25">
      <c r="A39" s="25"/>
      <c r="B39" s="25" t="s">
        <v>67</v>
      </c>
      <c r="C39" s="25"/>
      <c r="D39" s="25"/>
      <c r="E39" s="28">
        <f>SUM('Input Sheet'!Z11:AB11)</f>
        <v>1832</v>
      </c>
      <c r="F39" s="28"/>
      <c r="G39" s="28">
        <f>SUM('Input Sheet'!Z23:AB23)</f>
        <v>8103</v>
      </c>
      <c r="H39" s="28"/>
      <c r="I39" s="28">
        <f>E39+G39</f>
        <v>9935</v>
      </c>
    </row>
    <row r="40" spans="1:9" ht="12" customHeight="1" x14ac:dyDescent="0.25">
      <c r="A40" s="25"/>
      <c r="B40" s="25" t="s">
        <v>60</v>
      </c>
      <c r="C40" s="25"/>
      <c r="D40" s="25"/>
      <c r="E40" s="29">
        <f>'Input Sheet'!Y11+'Input Sheet'!AC11</f>
        <v>2238</v>
      </c>
      <c r="F40" s="29"/>
      <c r="G40" s="29">
        <f>'Input Sheet'!Y23+'Input Sheet'!AC23</f>
        <v>23374</v>
      </c>
      <c r="H40" s="29"/>
      <c r="I40" s="29">
        <f>E40+G40</f>
        <v>25612</v>
      </c>
    </row>
    <row r="41" spans="1:9" ht="12" customHeight="1" x14ac:dyDescent="0.25">
      <c r="A41" s="25"/>
      <c r="B41" s="25"/>
      <c r="C41" s="25"/>
      <c r="D41" s="25"/>
      <c r="E41" s="29"/>
      <c r="F41" s="29"/>
      <c r="G41" s="29"/>
      <c r="H41" s="29"/>
      <c r="I41" s="29"/>
    </row>
    <row r="42" spans="1:9" ht="12" customHeight="1" x14ac:dyDescent="0.25">
      <c r="A42" s="27" t="s">
        <v>61</v>
      </c>
      <c r="B42" s="25"/>
      <c r="C42" s="25"/>
      <c r="D42" s="25"/>
      <c r="E42" s="29"/>
      <c r="F42" s="29"/>
      <c r="G42" s="29"/>
      <c r="H42" s="29"/>
      <c r="I42" s="29"/>
    </row>
    <row r="43" spans="1:9" ht="12" customHeight="1" x14ac:dyDescent="0.25">
      <c r="A43" s="25"/>
      <c r="B43" s="25" t="s">
        <v>68</v>
      </c>
      <c r="C43" s="25"/>
      <c r="D43" s="25"/>
      <c r="E43" s="28">
        <f>'Input Sheet'!AJ11</f>
        <v>1574</v>
      </c>
      <c r="F43" s="28"/>
      <c r="G43" s="28">
        <f>'Input Sheet'!AJ23</f>
        <v>13457</v>
      </c>
      <c r="H43" s="28"/>
      <c r="I43" s="28">
        <f t="shared" ref="I43:I48" si="1">E43+G43</f>
        <v>15031</v>
      </c>
    </row>
    <row r="44" spans="1:9" ht="12" customHeight="1" x14ac:dyDescent="0.25">
      <c r="A44" s="25"/>
      <c r="B44" s="25" t="s">
        <v>62</v>
      </c>
      <c r="C44" s="25"/>
      <c r="D44" s="25"/>
      <c r="E44" s="29">
        <f>'Input Sheet'!AI11</f>
        <v>8577</v>
      </c>
      <c r="F44" s="29"/>
      <c r="G44" s="29">
        <f>'Input Sheet'!AI23</f>
        <v>57466</v>
      </c>
      <c r="H44" s="29"/>
      <c r="I44" s="29">
        <f t="shared" si="1"/>
        <v>66043</v>
      </c>
    </row>
    <row r="45" spans="1:9" ht="12" customHeight="1" x14ac:dyDescent="0.25">
      <c r="A45" s="25"/>
      <c r="B45" s="25" t="s">
        <v>63</v>
      </c>
      <c r="C45" s="25"/>
      <c r="D45" s="25"/>
      <c r="E45" s="29">
        <f>'Input Sheet'!AK11</f>
        <v>5658</v>
      </c>
      <c r="F45" s="29"/>
      <c r="G45" s="29">
        <f>'Input Sheet'!AK23</f>
        <v>30060</v>
      </c>
      <c r="H45" s="29"/>
      <c r="I45" s="29">
        <f t="shared" si="1"/>
        <v>35718</v>
      </c>
    </row>
    <row r="46" spans="1:9" ht="12" customHeight="1" x14ac:dyDescent="0.25">
      <c r="A46" s="27" t="s">
        <v>87</v>
      </c>
      <c r="B46" s="25"/>
      <c r="C46" s="25"/>
      <c r="D46" s="25"/>
      <c r="E46" s="29">
        <f>'Input Sheet'!AG11</f>
        <v>458</v>
      </c>
      <c r="F46" s="29"/>
      <c r="G46" s="29">
        <f>'Input Sheet'!AG23</f>
        <v>6539</v>
      </c>
      <c r="H46" s="29"/>
      <c r="I46" s="29">
        <f t="shared" si="1"/>
        <v>6997</v>
      </c>
    </row>
    <row r="47" spans="1:9" ht="12" customHeight="1" x14ac:dyDescent="0.25">
      <c r="A47" s="27" t="s">
        <v>64</v>
      </c>
      <c r="B47" s="25"/>
      <c r="C47" s="25"/>
      <c r="D47" s="25"/>
      <c r="E47" s="29">
        <f>'Input Sheet'!AS11</f>
        <v>0</v>
      </c>
      <c r="F47" s="29"/>
      <c r="G47" s="29">
        <f>'Input Sheet'!AS23</f>
        <v>0</v>
      </c>
      <c r="H47" s="29"/>
      <c r="I47" s="29">
        <f t="shared" si="1"/>
        <v>0</v>
      </c>
    </row>
    <row r="48" spans="1:9" ht="12" customHeight="1" x14ac:dyDescent="0.25">
      <c r="A48" s="27" t="s">
        <v>32</v>
      </c>
      <c r="B48" s="25"/>
      <c r="C48" s="25"/>
      <c r="D48" s="25"/>
      <c r="E48" s="30">
        <f>'Input Sheet'!AQ11</f>
        <v>35</v>
      </c>
      <c r="F48" s="30"/>
      <c r="G48" s="30">
        <f>'Input Sheet'!AQ23</f>
        <v>7601</v>
      </c>
      <c r="H48" s="30"/>
      <c r="I48" s="30">
        <f t="shared" si="1"/>
        <v>7636</v>
      </c>
    </row>
    <row r="49" spans="1:9" ht="12" customHeight="1" x14ac:dyDescent="0.25">
      <c r="A49" s="27"/>
      <c r="B49" s="25"/>
      <c r="C49" s="25"/>
      <c r="D49" s="25"/>
      <c r="E49" s="30"/>
      <c r="F49" s="30"/>
      <c r="G49" s="30"/>
      <c r="H49" s="30"/>
      <c r="I49" s="30"/>
    </row>
    <row r="50" spans="1:9" ht="12" customHeight="1" x14ac:dyDescent="0.25">
      <c r="A50" s="31" t="s">
        <v>36</v>
      </c>
      <c r="B50" s="25"/>
      <c r="C50" s="25"/>
      <c r="D50" s="25"/>
      <c r="E50" s="32">
        <f>IF((E36+SUM(E39:E40)-SUM(E43:E45)+SUM(E46:E47)-E48)='Input Sheet'!AU11,(E36+SUM(E39:E40)-SUM(E43:E45)+SUM(E46:E47)-E48),"ERROR")</f>
        <v>2659</v>
      </c>
      <c r="F50" s="32"/>
      <c r="G50" s="32">
        <f>IF((G36+SUM(G39:G40)-SUM(G43:G45)+SUM(G46:G47)-G48)='Input Sheet'!AU23,(G36+SUM(G39:G40)-SUM(G43:G45)+SUM(G46:G47)-G48),"ERROR")</f>
        <v>36584</v>
      </c>
      <c r="H50" s="32"/>
      <c r="I50" s="32">
        <f>I36+SUM(I39:I40)-SUM(I43:I45)+SUM(I46:I47)-I48</f>
        <v>39243</v>
      </c>
    </row>
    <row r="51" spans="1:9" ht="12.75" customHeight="1" x14ac:dyDescent="0.25">
      <c r="A51" s="25"/>
      <c r="B51" s="25"/>
      <c r="C51" s="25"/>
      <c r="D51" s="25"/>
      <c r="E51" s="29"/>
      <c r="F51" s="29"/>
      <c r="G51" s="29"/>
      <c r="H51" s="29"/>
      <c r="I51" s="29"/>
    </row>
    <row r="52" spans="1:9" ht="12" customHeight="1" x14ac:dyDescent="0.25">
      <c r="A52" s="25" t="s">
        <v>88</v>
      </c>
      <c r="B52" s="25"/>
      <c r="C52" s="25"/>
      <c r="D52" s="25"/>
      <c r="E52" s="28">
        <f>'Input Sheet'!AW11</f>
        <v>43355</v>
      </c>
      <c r="F52" s="28"/>
      <c r="G52" s="28">
        <f>'Input Sheet'!AW23</f>
        <v>352094</v>
      </c>
      <c r="H52" s="28"/>
      <c r="I52" s="28">
        <f>E52+G52</f>
        <v>395449</v>
      </c>
    </row>
    <row r="53" spans="1:9" ht="12" customHeight="1" x14ac:dyDescent="0.25">
      <c r="A53" s="25" t="s">
        <v>65</v>
      </c>
      <c r="B53" s="25"/>
      <c r="C53" s="25"/>
      <c r="D53" s="25"/>
      <c r="E53" s="28">
        <f>'Input Sheet'!AY11</f>
        <v>0</v>
      </c>
      <c r="F53" s="28"/>
      <c r="G53" s="28">
        <f>'Input Sheet'!AY23</f>
        <v>6293</v>
      </c>
      <c r="H53" s="28"/>
      <c r="I53" s="28">
        <f>E53+G53</f>
        <v>6293</v>
      </c>
    </row>
    <row r="54" spans="1:9" ht="12" customHeight="1" x14ac:dyDescent="0.25">
      <c r="A54" s="25" t="s">
        <v>38</v>
      </c>
      <c r="B54" s="25"/>
      <c r="C54" s="25"/>
      <c r="D54" s="25"/>
      <c r="E54" s="28">
        <f>'Input Sheet'!AZ11</f>
        <v>-1469</v>
      </c>
      <c r="F54" s="28"/>
      <c r="G54" s="28">
        <f>'Input Sheet'!AZ23</f>
        <v>2653</v>
      </c>
      <c r="H54" s="28"/>
      <c r="I54" s="28">
        <f>E54+G54</f>
        <v>1184</v>
      </c>
    </row>
    <row r="55" spans="1:9" ht="12" customHeight="1" x14ac:dyDescent="0.25">
      <c r="A55" s="25" t="s">
        <v>90</v>
      </c>
      <c r="B55" s="25"/>
      <c r="C55" s="25"/>
      <c r="D55" s="25"/>
      <c r="E55" s="28">
        <f>IF((E50+E52-E53+E54)='Input Sheet'!BB11,(E50+E52-E53+E54),"ERROR")</f>
        <v>44545</v>
      </c>
      <c r="F55" s="28"/>
      <c r="G55" s="28">
        <f>IF((G50+G52-G53+G54)='Input Sheet'!BB23,(G50+G52-G53+G54),"ERROR")</f>
        <v>385038</v>
      </c>
      <c r="H55" s="28"/>
      <c r="I55" s="28">
        <f>I50+I52-I53+I54</f>
        <v>429583</v>
      </c>
    </row>
    <row r="56" spans="1:9" ht="12" customHeight="1" x14ac:dyDescent="0.25">
      <c r="A56" s="25"/>
      <c r="B56" s="25"/>
      <c r="C56" s="25"/>
      <c r="D56" s="25"/>
      <c r="E56" s="29"/>
      <c r="F56" s="29"/>
      <c r="G56" s="29"/>
      <c r="H56" s="29"/>
      <c r="I56" s="29"/>
    </row>
    <row r="57" spans="1:9" ht="12" customHeight="1" x14ac:dyDescent="0.25">
      <c r="A57" s="25" t="s">
        <v>66</v>
      </c>
      <c r="B57" s="25"/>
      <c r="C57" s="25"/>
      <c r="D57" s="25"/>
      <c r="E57" s="33">
        <f>(E55-E52)/E52</f>
        <v>2.7447814554261332E-2</v>
      </c>
      <c r="F57" s="33"/>
      <c r="G57" s="33">
        <f>(G55-G52)/G52</f>
        <v>9.3565922736541948E-2</v>
      </c>
      <c r="H57" s="33"/>
      <c r="I57" s="33">
        <f>(I55-I52)/I52</f>
        <v>8.6317072492280933E-2</v>
      </c>
    </row>
    <row r="59" spans="1:9" x14ac:dyDescent="0.25">
      <c r="A59" s="35"/>
    </row>
  </sheetData>
  <mergeCells count="2">
    <mergeCell ref="A1:I1"/>
    <mergeCell ref="A2:I2"/>
  </mergeCells>
  <phoneticPr fontId="0" type="noConversion"/>
  <pageMargins left="0.7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228DA99526E499F9C02B3F624F075" ma:contentTypeVersion="18" ma:contentTypeDescription="Create a new document." ma:contentTypeScope="" ma:versionID="81e595b8270599aea7bb767e1816ac1c">
  <xsd:schema xmlns:xsd="http://www.w3.org/2001/XMLSchema" xmlns:xs="http://www.w3.org/2001/XMLSchema" xmlns:p="http://schemas.microsoft.com/office/2006/metadata/properties" xmlns:ns1="http://schemas.microsoft.com/sharepoint/v3" xmlns:ns2="e97105f5-e1dc-49f0-a421-45d5cba715f8" xmlns:ns3="284f5044-7891-4dcb-a4ce-8cacddd3fa5f" targetNamespace="http://schemas.microsoft.com/office/2006/metadata/properties" ma:root="true" ma:fieldsID="82f4a091ce3384e0c33bb02651a3db7e" ns1:_="" ns2:_="" ns3:_="">
    <xsd:import namespace="http://schemas.microsoft.com/sharepoint/v3"/>
    <xsd:import namespace="e97105f5-e1dc-49f0-a421-45d5cba715f8"/>
    <xsd:import namespace="284f5044-7891-4dcb-a4ce-8cacddd3f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105f5-e1dc-49f0-a421-45d5cba7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5044-7891-4dcb-a4ce-8cacddd3f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698951-1050-4f8c-b07e-f5d4e6d237e4}" ma:internalName="TaxCatchAll" ma:showField="CatchAllData" ma:web="284f5044-7891-4dcb-a4ce-8cacddd3fa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7105f5-e1dc-49f0-a421-45d5cba715f8">
      <Terms xmlns="http://schemas.microsoft.com/office/infopath/2007/PartnerControls"/>
    </lcf76f155ced4ddcb4097134ff3c332f>
    <TaxCatchAll xmlns="284f5044-7891-4dcb-a4ce-8cacddd3fa5f" xsi:nil="true"/>
  </documentManagement>
</p:properties>
</file>

<file path=customXml/itemProps1.xml><?xml version="1.0" encoding="utf-8"?>
<ds:datastoreItem xmlns:ds="http://schemas.openxmlformats.org/officeDocument/2006/customXml" ds:itemID="{36D00624-7C26-4059-8797-B007F83DD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0DC78-4B1E-42F1-9BA0-C8A4F9B22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7105f5-e1dc-49f0-a421-45d5cba715f8"/>
    <ds:schemaRef ds:uri="284f5044-7891-4dcb-a4ce-8cacddd3f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0571A-066B-40A3-9FFF-E57771D199C9}">
  <ds:schemaRefs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284f5044-7891-4dcb-a4ce-8cacddd3fa5f"/>
    <ds:schemaRef ds:uri="e97105f5-e1dc-49f0-a421-45d5cba715f8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Sheet</vt:lpstr>
      <vt:lpstr>Printed Page</vt:lpstr>
      <vt:lpstr>'Printed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 Pike</dc:creator>
  <cp:lastModifiedBy>Brackin, Stephanie</cp:lastModifiedBy>
  <cp:lastPrinted>2019-03-19T14:32:47Z</cp:lastPrinted>
  <dcterms:created xsi:type="dcterms:W3CDTF">2000-02-28T17:38:45Z</dcterms:created>
  <dcterms:modified xsi:type="dcterms:W3CDTF">2022-06-29T17:18:32Z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0x010100F4E228DA99526E499F9C02B3F624F075</vt:lpwstr>
  </property>
  <property fmtid="{D5CDD505-2E9C-101B-9397-08002B2CF9AE}" pid="3" name="MediaServiceImageTags">
    <vt:lpwstr/>
  </property>
</Properties>
</file>